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 22 SAISIE SUR SALAIRE/"/>
    </mc:Choice>
  </mc:AlternateContent>
  <xr:revisionPtr revIDLastSave="604" documentId="8_{AF1871E8-0F8B-4572-AC29-30758588B1FA}" xr6:coauthVersionLast="47" xr6:coauthVersionMax="47" xr10:uidLastSave="{B9C40161-09EA-4C4D-BF65-63DC72E09659}"/>
  <bookViews>
    <workbookView xWindow="-108" yWindow="-108" windowWidth="23256" windowHeight="12456" firstSheet="14" activeTab="16" xr2:uid="{00000000-000D-0000-FFFF-FFFF00000000}"/>
  </bookViews>
  <sheets>
    <sheet name="BAREME 2024 TABLEAU  " sheetId="26" r:id="rId1"/>
    <sheet name="BAREME 2024 2025 PERSO SEULE " sheetId="19" r:id="rId2"/>
    <sheet name="C BAREME 2024 2025 PERS SEULE  " sheetId="34" r:id="rId3"/>
    <sheet name="BAREME 2024  et 2025     E " sheetId="21" r:id="rId4"/>
    <sheet name="BAREME 2024  et 2025 C " sheetId="35" r:id="rId5"/>
    <sheet name="Exercice 1 2024  C" sheetId="28" r:id="rId6"/>
    <sheet name="EXERCICE 1 2025 E " sheetId="38" r:id="rId7"/>
    <sheet name="EXERCICE 1 2025 C" sheetId="37" r:id="rId8"/>
    <sheet name="Exercice 2 2024  E " sheetId="29" r:id="rId9"/>
    <sheet name="Exercice 2 2024  C " sheetId="30" r:id="rId10"/>
    <sheet name="EXERCICE 2 2025 E" sheetId="43" r:id="rId11"/>
    <sheet name="EXERCICE 2 2025 C " sheetId="39" r:id="rId12"/>
    <sheet name="EXERCICE 3 2025 E " sheetId="41" r:id="rId13"/>
    <sheet name="EXERCICE 3 2025 C " sheetId="40" r:id="rId14"/>
    <sheet name="EXERCICE 3 2024  E " sheetId="31" r:id="rId15"/>
    <sheet name="EXERCICE 3 2024  C " sheetId="32" r:id="rId16"/>
    <sheet name="EXERCICE 4 2025 C " sheetId="42" r:id="rId17"/>
    <sheet name="EXERCICE 4  2024  C " sheetId="33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42" l="1"/>
  <c r="C15" i="42"/>
  <c r="B16" i="42"/>
  <c r="B17" i="42"/>
  <c r="B18" i="42"/>
  <c r="B19" i="42"/>
  <c r="B20" i="42"/>
  <c r="B15" i="42"/>
  <c r="L5" i="42"/>
  <c r="D40" i="42"/>
  <c r="B33" i="42"/>
  <c r="F26" i="42"/>
  <c r="E20" i="42"/>
  <c r="E19" i="42"/>
  <c r="E18" i="42"/>
  <c r="E17" i="42"/>
  <c r="E16" i="42"/>
  <c r="C16" i="42"/>
  <c r="C17" i="42" s="1"/>
  <c r="C18" i="42" s="1"/>
  <c r="C19" i="42" s="1"/>
  <c r="C20" i="42" s="1"/>
  <c r="E15" i="42"/>
  <c r="D15" i="42"/>
  <c r="E154" i="41"/>
  <c r="B137" i="41"/>
  <c r="B136" i="41"/>
  <c r="B138" i="41" s="1"/>
  <c r="G142" i="41" s="1"/>
  <c r="D108" i="41"/>
  <c r="E99" i="41"/>
  <c r="B99" i="41"/>
  <c r="F45" i="41"/>
  <c r="H41" i="41"/>
  <c r="H40" i="41"/>
  <c r="H39" i="41"/>
  <c r="H38" i="41"/>
  <c r="H37" i="41"/>
  <c r="I36" i="41"/>
  <c r="I37" i="41" s="1"/>
  <c r="I38" i="41" s="1"/>
  <c r="I39" i="41" s="1"/>
  <c r="I40" i="41" s="1"/>
  <c r="I41" i="41" s="1"/>
  <c r="H36" i="41"/>
  <c r="G36" i="41"/>
  <c r="B25" i="41"/>
  <c r="A25" i="41"/>
  <c r="B24" i="41"/>
  <c r="A24" i="41"/>
  <c r="B23" i="41"/>
  <c r="A23" i="41"/>
  <c r="B22" i="41"/>
  <c r="B21" i="41"/>
  <c r="A21" i="41"/>
  <c r="F20" i="41"/>
  <c r="B20" i="41"/>
  <c r="F12" i="41"/>
  <c r="E99" i="40"/>
  <c r="B99" i="40"/>
  <c r="J90" i="40"/>
  <c r="F45" i="40"/>
  <c r="E21" i="40"/>
  <c r="E22" i="40"/>
  <c r="E23" i="40"/>
  <c r="E24" i="40"/>
  <c r="E25" i="40"/>
  <c r="E20" i="40"/>
  <c r="B21" i="40"/>
  <c r="A22" i="40" s="1"/>
  <c r="B22" i="40"/>
  <c r="A23" i="40" s="1"/>
  <c r="B23" i="40"/>
  <c r="A24" i="40" s="1"/>
  <c r="B24" i="40"/>
  <c r="A25" i="40" s="1"/>
  <c r="B25" i="40"/>
  <c r="B20" i="40"/>
  <c r="A21" i="40" s="1"/>
  <c r="E154" i="40"/>
  <c r="B137" i="40"/>
  <c r="B136" i="40"/>
  <c r="E119" i="40"/>
  <c r="D108" i="40"/>
  <c r="J88" i="40"/>
  <c r="H41" i="40"/>
  <c r="H40" i="40"/>
  <c r="H39" i="40"/>
  <c r="H38" i="40"/>
  <c r="H37" i="40"/>
  <c r="G36" i="40"/>
  <c r="H36" i="40" s="1"/>
  <c r="I36" i="40" s="1"/>
  <c r="F20" i="40"/>
  <c r="F12" i="40"/>
  <c r="C9" i="39"/>
  <c r="C10" i="39" s="1"/>
  <c r="B12" i="38"/>
  <c r="E10" i="38"/>
  <c r="C10" i="38"/>
  <c r="B13" i="38" s="1"/>
  <c r="B14" i="38" s="1"/>
  <c r="E8" i="37"/>
  <c r="B12" i="37"/>
  <c r="E10" i="37"/>
  <c r="C10" i="37"/>
  <c r="B13" i="37" s="1"/>
  <c r="E69" i="35"/>
  <c r="E70" i="35"/>
  <c r="E71" i="35"/>
  <c r="E72" i="35"/>
  <c r="E73" i="35"/>
  <c r="E68" i="35"/>
  <c r="E62" i="35"/>
  <c r="E61" i="35"/>
  <c r="E60" i="35"/>
  <c r="E59" i="35"/>
  <c r="E58" i="35"/>
  <c r="E57" i="35"/>
  <c r="A57" i="35"/>
  <c r="A68" i="35" s="1"/>
  <c r="C68" i="35" s="1"/>
  <c r="F47" i="35"/>
  <c r="F62" i="35" s="1"/>
  <c r="B47" i="35"/>
  <c r="B62" i="35" s="1"/>
  <c r="B73" i="35" s="1"/>
  <c r="F46" i="35"/>
  <c r="F61" i="35" s="1"/>
  <c r="B46" i="35"/>
  <c r="B61" i="35" s="1"/>
  <c r="B72" i="35" s="1"/>
  <c r="F45" i="35"/>
  <c r="F60" i="35" s="1"/>
  <c r="B45" i="35"/>
  <c r="B60" i="35" s="1"/>
  <c r="B71" i="35" s="1"/>
  <c r="F44" i="35"/>
  <c r="F59" i="35" s="1"/>
  <c r="B44" i="35"/>
  <c r="B59" i="35" s="1"/>
  <c r="F43" i="35"/>
  <c r="F58" i="35" s="1"/>
  <c r="B43" i="35"/>
  <c r="B58" i="35" s="1"/>
  <c r="B69" i="35" s="1"/>
  <c r="D69" i="35" s="1"/>
  <c r="J42" i="35"/>
  <c r="F42" i="35"/>
  <c r="B42" i="35"/>
  <c r="A43" i="35" s="1"/>
  <c r="A58" i="35" s="1"/>
  <c r="A69" i="35" s="1"/>
  <c r="E34" i="35"/>
  <c r="E33" i="35"/>
  <c r="E32" i="35"/>
  <c r="E31" i="35"/>
  <c r="E30" i="35"/>
  <c r="E29" i="35"/>
  <c r="E22" i="35"/>
  <c r="E21" i="35"/>
  <c r="E20" i="35"/>
  <c r="E19" i="35"/>
  <c r="E18" i="35"/>
  <c r="E17" i="35"/>
  <c r="A17" i="35"/>
  <c r="A29" i="35" s="1"/>
  <c r="C29" i="35" s="1"/>
  <c r="F11" i="35"/>
  <c r="F22" i="35" s="1"/>
  <c r="F10" i="35"/>
  <c r="F21" i="35" s="1"/>
  <c r="F9" i="35"/>
  <c r="F20" i="35" s="1"/>
  <c r="F8" i="35"/>
  <c r="F19" i="35" s="1"/>
  <c r="F7" i="35"/>
  <c r="F18" i="35" s="1"/>
  <c r="F6" i="35"/>
  <c r="F17" i="35" s="1"/>
  <c r="E28" i="21"/>
  <c r="C8" i="21"/>
  <c r="C9" i="21"/>
  <c r="C10" i="21"/>
  <c r="C11" i="21"/>
  <c r="C7" i="21"/>
  <c r="F7" i="21"/>
  <c r="F18" i="21" s="1"/>
  <c r="F8" i="21"/>
  <c r="F19" i="21" s="1"/>
  <c r="F9" i="21"/>
  <c r="F20" i="21" s="1"/>
  <c r="F10" i="21"/>
  <c r="F21" i="21" s="1"/>
  <c r="F11" i="21"/>
  <c r="F22" i="21" s="1"/>
  <c r="F6" i="21"/>
  <c r="F17" i="21" s="1"/>
  <c r="C64" i="21"/>
  <c r="C65" i="21"/>
  <c r="H62" i="21"/>
  <c r="F63" i="21"/>
  <c r="F74" i="21" s="1"/>
  <c r="F64" i="21"/>
  <c r="F75" i="21" s="1"/>
  <c r="F65" i="21"/>
  <c r="F76" i="21" s="1"/>
  <c r="F66" i="21"/>
  <c r="F77" i="21" s="1"/>
  <c r="F67" i="21"/>
  <c r="F78" i="21" s="1"/>
  <c r="F62" i="21"/>
  <c r="C67" i="21"/>
  <c r="B63" i="21"/>
  <c r="B74" i="21" s="1"/>
  <c r="B64" i="21"/>
  <c r="A65" i="21" s="1"/>
  <c r="A76" i="21" s="1"/>
  <c r="A87" i="21" s="1"/>
  <c r="B65" i="21"/>
  <c r="A66" i="21" s="1"/>
  <c r="A77" i="21" s="1"/>
  <c r="A88" i="21" s="1"/>
  <c r="B66" i="21"/>
  <c r="A67" i="21" s="1"/>
  <c r="A78" i="21" s="1"/>
  <c r="A89" i="21" s="1"/>
  <c r="B67" i="21"/>
  <c r="B78" i="21" s="1"/>
  <c r="B62" i="21"/>
  <c r="B73" i="21" s="1"/>
  <c r="G76" i="26"/>
  <c r="I76" i="26" s="1"/>
  <c r="E69" i="26"/>
  <c r="E70" i="26"/>
  <c r="E71" i="26"/>
  <c r="E72" i="26"/>
  <c r="E73" i="26"/>
  <c r="E68" i="26"/>
  <c r="E78" i="21"/>
  <c r="E77" i="21"/>
  <c r="E76" i="21"/>
  <c r="E75" i="21"/>
  <c r="E74" i="21"/>
  <c r="E73" i="21"/>
  <c r="A73" i="21"/>
  <c r="A84" i="21" s="1"/>
  <c r="C84" i="21" s="1"/>
  <c r="D70" i="34"/>
  <c r="E50" i="34"/>
  <c r="D51" i="34" s="1"/>
  <c r="E51" i="34"/>
  <c r="B72" i="34" s="1"/>
  <c r="E52" i="34"/>
  <c r="B73" i="34" s="1"/>
  <c r="E53" i="34"/>
  <c r="B74" i="34" s="1"/>
  <c r="E54" i="34"/>
  <c r="D55" i="34" s="1"/>
  <c r="E49" i="34"/>
  <c r="D50" i="34" s="1"/>
  <c r="C70" i="34"/>
  <c r="E60" i="34"/>
  <c r="E61" i="34" s="1"/>
  <c r="E62" i="34" s="1"/>
  <c r="E63" i="34" s="1"/>
  <c r="E64" i="34" s="1"/>
  <c r="E65" i="34" s="1"/>
  <c r="B55" i="34"/>
  <c r="B54" i="34"/>
  <c r="B53" i="34"/>
  <c r="B52" i="34"/>
  <c r="B51" i="34"/>
  <c r="B50" i="34"/>
  <c r="B53" i="19"/>
  <c r="A70" i="26" s="1"/>
  <c r="B70" i="26" s="1"/>
  <c r="B54" i="19"/>
  <c r="A71" i="26" s="1"/>
  <c r="B71" i="26" s="1"/>
  <c r="B55" i="19"/>
  <c r="A72" i="26" s="1"/>
  <c r="B72" i="26" s="1"/>
  <c r="B56" i="19"/>
  <c r="A73" i="26" s="1"/>
  <c r="B73" i="26" s="1"/>
  <c r="B52" i="19"/>
  <c r="A69" i="26" s="1"/>
  <c r="B69" i="26" s="1"/>
  <c r="B51" i="19"/>
  <c r="A68" i="26" s="1"/>
  <c r="B68" i="26" s="1"/>
  <c r="G68" i="26" s="1"/>
  <c r="B76" i="19"/>
  <c r="B75" i="19"/>
  <c r="B74" i="19"/>
  <c r="B73" i="19"/>
  <c r="B72" i="19"/>
  <c r="C71" i="19"/>
  <c r="B71" i="19"/>
  <c r="E61" i="19"/>
  <c r="E62" i="19" s="1"/>
  <c r="E63" i="19" s="1"/>
  <c r="E64" i="19" s="1"/>
  <c r="E65" i="19" s="1"/>
  <c r="E66" i="19" s="1"/>
  <c r="F15" i="42" l="1"/>
  <c r="G15" i="42" s="1"/>
  <c r="D19" i="42"/>
  <c r="F24" i="42" s="1"/>
  <c r="H26" i="42" s="1"/>
  <c r="J26" i="42" s="1"/>
  <c r="C10" i="43"/>
  <c r="D20" i="42"/>
  <c r="D17" i="42"/>
  <c r="D18" i="42"/>
  <c r="F18" i="42" s="1"/>
  <c r="D16" i="42"/>
  <c r="F16" i="42" s="1"/>
  <c r="G20" i="41"/>
  <c r="G143" i="41"/>
  <c r="G148" i="41" s="1"/>
  <c r="G21" i="41"/>
  <c r="G22" i="41" s="1"/>
  <c r="G23" i="41" s="1"/>
  <c r="A22" i="41"/>
  <c r="I37" i="40"/>
  <c r="I38" i="40" s="1"/>
  <c r="I39" i="40" s="1"/>
  <c r="I40" i="40" s="1"/>
  <c r="I41" i="40" s="1"/>
  <c r="D23" i="40"/>
  <c r="C24" i="40" s="1"/>
  <c r="D25" i="40"/>
  <c r="B138" i="40"/>
  <c r="G142" i="40" s="1"/>
  <c r="G143" i="40" s="1"/>
  <c r="G148" i="40" s="1"/>
  <c r="D20" i="40"/>
  <c r="G20" i="40" s="1"/>
  <c r="D21" i="40"/>
  <c r="C22" i="40" s="1"/>
  <c r="D22" i="40"/>
  <c r="D24" i="40"/>
  <c r="C13" i="39"/>
  <c r="A46" i="35"/>
  <c r="A61" i="35" s="1"/>
  <c r="A72" i="35" s="1"/>
  <c r="D72" i="35"/>
  <c r="C73" i="35" s="1"/>
  <c r="D43" i="35"/>
  <c r="C44" i="35" s="1"/>
  <c r="D58" i="35"/>
  <c r="C59" i="35" s="1"/>
  <c r="B70" i="35"/>
  <c r="D70" i="35" s="1"/>
  <c r="C71" i="35" s="1"/>
  <c r="D59" i="35"/>
  <c r="D44" i="35"/>
  <c r="C45" i="35" s="1"/>
  <c r="A47" i="35"/>
  <c r="A62" i="35" s="1"/>
  <c r="A73" i="35" s="1"/>
  <c r="D42" i="35"/>
  <c r="G42" i="35" s="1"/>
  <c r="H42" i="35" s="1"/>
  <c r="A45" i="35"/>
  <c r="A60" i="35" s="1"/>
  <c r="A71" i="35" s="1"/>
  <c r="D45" i="35"/>
  <c r="D61" i="35"/>
  <c r="C62" i="35" s="1"/>
  <c r="B57" i="35"/>
  <c r="B68" i="35" s="1"/>
  <c r="D68" i="35" s="1"/>
  <c r="B75" i="21"/>
  <c r="B86" i="21" s="1"/>
  <c r="C87" i="21" s="1"/>
  <c r="A64" i="21"/>
  <c r="A75" i="21" s="1"/>
  <c r="A86" i="21" s="1"/>
  <c r="B76" i="21"/>
  <c r="B87" i="21" s="1"/>
  <c r="C88" i="21" s="1"/>
  <c r="B14" i="37"/>
  <c r="B16" i="37" s="1"/>
  <c r="H10" i="37" s="1"/>
  <c r="D71" i="35"/>
  <c r="C72" i="35" s="1"/>
  <c r="G72" i="35" s="1"/>
  <c r="D73" i="35"/>
  <c r="C70" i="35"/>
  <c r="D60" i="35"/>
  <c r="C60" i="35"/>
  <c r="D62" i="35"/>
  <c r="A44" i="35"/>
  <c r="A59" i="35" s="1"/>
  <c r="A70" i="35" s="1"/>
  <c r="D47" i="35"/>
  <c r="D46" i="35"/>
  <c r="C66" i="21"/>
  <c r="C63" i="21"/>
  <c r="H63" i="21" s="1"/>
  <c r="B85" i="21"/>
  <c r="C86" i="21" s="1"/>
  <c r="G69" i="26"/>
  <c r="G70" i="26" s="1"/>
  <c r="B89" i="21"/>
  <c r="B84" i="21"/>
  <c r="C85" i="21" s="1"/>
  <c r="B77" i="21"/>
  <c r="A63" i="21"/>
  <c r="A74" i="21" s="1"/>
  <c r="A85" i="21" s="1"/>
  <c r="B70" i="34"/>
  <c r="E70" i="34" s="1"/>
  <c r="D54" i="34"/>
  <c r="B71" i="34"/>
  <c r="D53" i="34"/>
  <c r="B75" i="34"/>
  <c r="D75" i="34" s="1"/>
  <c r="D52" i="34"/>
  <c r="D74" i="34"/>
  <c r="D72" i="34"/>
  <c r="D73" i="34"/>
  <c r="D74" i="19"/>
  <c r="D76" i="19"/>
  <c r="D71" i="19"/>
  <c r="E71" i="19" s="1"/>
  <c r="D73" i="19"/>
  <c r="D75" i="19"/>
  <c r="D72" i="19"/>
  <c r="G16" i="42" l="1"/>
  <c r="F20" i="42"/>
  <c r="F22" i="43"/>
  <c r="F19" i="42"/>
  <c r="F17" i="42"/>
  <c r="G17" i="42" s="1"/>
  <c r="G18" i="42" s="1"/>
  <c r="G24" i="41"/>
  <c r="G25" i="41" s="1"/>
  <c r="E155" i="41"/>
  <c r="E156" i="41" s="1"/>
  <c r="G149" i="41"/>
  <c r="G144" i="41"/>
  <c r="J85" i="40"/>
  <c r="J87" i="40" s="1"/>
  <c r="J89" i="40" s="1"/>
  <c r="J91" i="40" s="1"/>
  <c r="C21" i="40"/>
  <c r="G21" i="40" s="1"/>
  <c r="G22" i="40" s="1"/>
  <c r="E155" i="40"/>
  <c r="E156" i="40" s="1"/>
  <c r="G149" i="40"/>
  <c r="C25" i="40"/>
  <c r="C23" i="40"/>
  <c r="G144" i="40"/>
  <c r="G59" i="35"/>
  <c r="D57" i="35"/>
  <c r="G57" i="35" s="1"/>
  <c r="H57" i="35" s="1"/>
  <c r="C43" i="35"/>
  <c r="G43" i="35" s="1"/>
  <c r="H43" i="35" s="1"/>
  <c r="G44" i="35"/>
  <c r="G70" i="35"/>
  <c r="G73" i="35"/>
  <c r="C46" i="35"/>
  <c r="G46" i="35" s="1"/>
  <c r="G45" i="35"/>
  <c r="G62" i="35"/>
  <c r="G71" i="35"/>
  <c r="E72" i="19"/>
  <c r="E73" i="19" s="1"/>
  <c r="E74" i="19" s="1"/>
  <c r="E75" i="19" s="1"/>
  <c r="E76" i="19" s="1"/>
  <c r="G60" i="35"/>
  <c r="C61" i="35"/>
  <c r="G61" i="35" s="1"/>
  <c r="C47" i="35"/>
  <c r="G47" i="35" s="1"/>
  <c r="C69" i="35"/>
  <c r="G69" i="35" s="1"/>
  <c r="G68" i="35"/>
  <c r="H68" i="35" s="1"/>
  <c r="H64" i="21"/>
  <c r="H65" i="21" s="1"/>
  <c r="H66" i="21" s="1"/>
  <c r="H67" i="21" s="1"/>
  <c r="G71" i="26"/>
  <c r="B88" i="21"/>
  <c r="C89" i="21" s="1"/>
  <c r="D71" i="34"/>
  <c r="E71" i="34" s="1"/>
  <c r="E72" i="34" s="1"/>
  <c r="E73" i="34" s="1"/>
  <c r="E74" i="34" s="1"/>
  <c r="E75" i="34" s="1"/>
  <c r="G19" i="42" l="1"/>
  <c r="J24" i="42" s="1"/>
  <c r="J28" i="42" s="1"/>
  <c r="B35" i="42" s="1"/>
  <c r="E111" i="41"/>
  <c r="F111" i="41"/>
  <c r="D111" i="41"/>
  <c r="H111" i="41"/>
  <c r="G111" i="41"/>
  <c r="G23" i="40"/>
  <c r="H44" i="35"/>
  <c r="H45" i="35" s="1"/>
  <c r="H46" i="35" s="1"/>
  <c r="H47" i="35" s="1"/>
  <c r="C58" i="35"/>
  <c r="G58" i="35" s="1"/>
  <c r="H69" i="35"/>
  <c r="H70" i="35" s="1"/>
  <c r="H71" i="35" s="1"/>
  <c r="H72" i="35" s="1"/>
  <c r="H73" i="35" s="1"/>
  <c r="H58" i="35"/>
  <c r="H59" i="35" s="1"/>
  <c r="H60" i="35" s="1"/>
  <c r="H61" i="35" s="1"/>
  <c r="H62" i="35" s="1"/>
  <c r="G72" i="26"/>
  <c r="G20" i="42" l="1"/>
  <c r="D50" i="42"/>
  <c r="E43" i="42"/>
  <c r="E49" i="42" s="1"/>
  <c r="B36" i="42"/>
  <c r="E39" i="42" s="1"/>
  <c r="E41" i="42" s="1"/>
  <c r="G109" i="41"/>
  <c r="G110" i="41" s="1"/>
  <c r="F109" i="41"/>
  <c r="H109" i="41"/>
  <c r="H110" i="41" s="1"/>
  <c r="E109" i="41"/>
  <c r="E110" i="41" s="1"/>
  <c r="D109" i="41"/>
  <c r="D110" i="41" s="1"/>
  <c r="J86" i="40"/>
  <c r="J93" i="40" s="1"/>
  <c r="E100" i="40" s="1"/>
  <c r="G24" i="40"/>
  <c r="G25" i="40" s="1"/>
  <c r="G73" i="26"/>
  <c r="E45" i="42" l="1"/>
  <c r="E51" i="42"/>
  <c r="E55" i="42" s="1"/>
  <c r="G116" i="41"/>
  <c r="E116" i="41"/>
  <c r="D117" i="41"/>
  <c r="D116" i="41"/>
  <c r="F110" i="41"/>
  <c r="E111" i="40"/>
  <c r="F111" i="40"/>
  <c r="G111" i="40"/>
  <c r="H111" i="40"/>
  <c r="D111" i="40"/>
  <c r="E101" i="40"/>
  <c r="E30" i="26"/>
  <c r="E29" i="26"/>
  <c r="E28" i="26"/>
  <c r="B34" i="33"/>
  <c r="B105" i="32"/>
  <c r="B107" i="32" s="1"/>
  <c r="G111" i="32" s="1"/>
  <c r="B106" i="32"/>
  <c r="E123" i="32"/>
  <c r="M53" i="31"/>
  <c r="M52" i="31"/>
  <c r="G52" i="31"/>
  <c r="M51" i="31"/>
  <c r="G51" i="31"/>
  <c r="M50" i="31"/>
  <c r="G50" i="31"/>
  <c r="D77" i="32"/>
  <c r="E68" i="32"/>
  <c r="B68" i="32"/>
  <c r="G46" i="32"/>
  <c r="G47" i="32"/>
  <c r="G48" i="32"/>
  <c r="B15" i="28"/>
  <c r="E29" i="21"/>
  <c r="E30" i="21"/>
  <c r="E31" i="21"/>
  <c r="E32" i="21"/>
  <c r="E33" i="21"/>
  <c r="E18" i="21"/>
  <c r="E19" i="21"/>
  <c r="E20" i="21"/>
  <c r="E21" i="21"/>
  <c r="E22" i="21"/>
  <c r="E17" i="21"/>
  <c r="E117" i="41" l="1"/>
  <c r="F116" i="41"/>
  <c r="F117" i="41" s="1"/>
  <c r="G117" i="41" s="1"/>
  <c r="H116" i="41" s="1"/>
  <c r="H118" i="41" s="1"/>
  <c r="G109" i="40"/>
  <c r="H109" i="40"/>
  <c r="H110" i="40" s="1"/>
  <c r="H112" i="40" s="1"/>
  <c r="H113" i="40" s="1"/>
  <c r="D109" i="40"/>
  <c r="D110" i="40" s="1"/>
  <c r="D114" i="40" s="1"/>
  <c r="E109" i="40"/>
  <c r="E110" i="40" s="1"/>
  <c r="F109" i="40"/>
  <c r="G110" i="40"/>
  <c r="G112" i="40" s="1"/>
  <c r="G113" i="40" s="1"/>
  <c r="D117" i="40"/>
  <c r="E115" i="40" s="1"/>
  <c r="D116" i="40"/>
  <c r="G112" i="32"/>
  <c r="G117" i="32" s="1"/>
  <c r="F118" i="41" l="1"/>
  <c r="D112" i="40"/>
  <c r="D113" i="40"/>
  <c r="H114" i="40"/>
  <c r="G114" i="40"/>
  <c r="G116" i="40" s="1"/>
  <c r="E112" i="40"/>
  <c r="F110" i="40"/>
  <c r="E114" i="40"/>
  <c r="G118" i="32"/>
  <c r="E124" i="32"/>
  <c r="E125" i="32" s="1"/>
  <c r="G113" i="32"/>
  <c r="F26" i="33"/>
  <c r="B33" i="33" s="1"/>
  <c r="M49" i="32"/>
  <c r="M48" i="32"/>
  <c r="M47" i="32"/>
  <c r="M46" i="32"/>
  <c r="E21" i="32"/>
  <c r="E23" i="32"/>
  <c r="E24" i="32"/>
  <c r="E25" i="32"/>
  <c r="E22" i="32"/>
  <c r="E20" i="32"/>
  <c r="F12" i="32"/>
  <c r="B12" i="28"/>
  <c r="B12" i="34"/>
  <c r="C5" i="34"/>
  <c r="B6" i="34" s="1"/>
  <c r="C5" i="19"/>
  <c r="B6" i="19" s="1"/>
  <c r="G11" i="26"/>
  <c r="C15" i="33" s="1"/>
  <c r="C16" i="33" s="1"/>
  <c r="C17" i="33" s="1"/>
  <c r="C18" i="33" s="1"/>
  <c r="C19" i="33" s="1"/>
  <c r="C20" i="33" s="1"/>
  <c r="C26" i="19"/>
  <c r="E16" i="19"/>
  <c r="E17" i="19" s="1"/>
  <c r="E18" i="19" s="1"/>
  <c r="E19" i="19" s="1"/>
  <c r="E20" i="19" s="1"/>
  <c r="E21" i="19" s="1"/>
  <c r="F10" i="19"/>
  <c r="F55" i="19" s="1"/>
  <c r="C10" i="19"/>
  <c r="B11" i="19" s="1"/>
  <c r="F9" i="19"/>
  <c r="F54" i="19" s="1"/>
  <c r="C9" i="19"/>
  <c r="B10" i="19" s="1"/>
  <c r="F8" i="19"/>
  <c r="F53" i="19" s="1"/>
  <c r="C8" i="19"/>
  <c r="B9" i="19" s="1"/>
  <c r="F7" i="19"/>
  <c r="F52" i="19" s="1"/>
  <c r="C7" i="19"/>
  <c r="B8" i="19" s="1"/>
  <c r="F6" i="19"/>
  <c r="F51" i="19" s="1"/>
  <c r="C6" i="19"/>
  <c r="B7" i="19" s="1"/>
  <c r="F5" i="19"/>
  <c r="F50" i="19" s="1"/>
  <c r="F6" i="34"/>
  <c r="F50" i="34" s="1"/>
  <c r="G50" i="34" s="1"/>
  <c r="F7" i="34"/>
  <c r="F51" i="34" s="1"/>
  <c r="G51" i="34" s="1"/>
  <c r="F8" i="34"/>
  <c r="F52" i="34" s="1"/>
  <c r="G52" i="34" s="1"/>
  <c r="F9" i="34"/>
  <c r="F53" i="34" s="1"/>
  <c r="G53" i="34" s="1"/>
  <c r="F10" i="34"/>
  <c r="F54" i="34" s="1"/>
  <c r="F5" i="34"/>
  <c r="F49" i="34" s="1"/>
  <c r="G49" i="34" s="1"/>
  <c r="H49" i="34" s="1"/>
  <c r="C7" i="34"/>
  <c r="B8" i="34" s="1"/>
  <c r="C8" i="34"/>
  <c r="B9" i="34" s="1"/>
  <c r="C9" i="34"/>
  <c r="B10" i="34" s="1"/>
  <c r="C10" i="34"/>
  <c r="B11" i="34" s="1"/>
  <c r="C6" i="34"/>
  <c r="B7" i="34" s="1"/>
  <c r="C26" i="34"/>
  <c r="E16" i="34"/>
  <c r="E17" i="34" s="1"/>
  <c r="E18" i="34" s="1"/>
  <c r="E19" i="34" s="1"/>
  <c r="E20" i="34" s="1"/>
  <c r="E21" i="34" s="1"/>
  <c r="E16" i="33"/>
  <c r="E17" i="33"/>
  <c r="E18" i="33"/>
  <c r="E19" i="33"/>
  <c r="E20" i="33"/>
  <c r="E15" i="33"/>
  <c r="D40" i="33"/>
  <c r="J60" i="32"/>
  <c r="J58" i="32"/>
  <c r="H41" i="32"/>
  <c r="H40" i="32"/>
  <c r="H39" i="32"/>
  <c r="H38" i="32"/>
  <c r="H37" i="32"/>
  <c r="G36" i="32"/>
  <c r="H36" i="32" s="1"/>
  <c r="I36" i="32" s="1"/>
  <c r="F20" i="32"/>
  <c r="J56" i="31"/>
  <c r="H39" i="31"/>
  <c r="H38" i="31"/>
  <c r="H37" i="31"/>
  <c r="H36" i="31"/>
  <c r="H35" i="31"/>
  <c r="G34" i="31"/>
  <c r="H34" i="31" s="1"/>
  <c r="I34" i="31" s="1"/>
  <c r="F18" i="31"/>
  <c r="C22" i="29"/>
  <c r="C23" i="29" s="1"/>
  <c r="C13" i="29"/>
  <c r="E10" i="28"/>
  <c r="B3" i="26"/>
  <c r="B5" i="26"/>
  <c r="B6" i="26"/>
  <c r="B7" i="26"/>
  <c r="B8" i="26"/>
  <c r="B4" i="26"/>
  <c r="A17" i="21"/>
  <c r="A28" i="21" s="1"/>
  <c r="H50" i="34" l="1"/>
  <c r="H51" i="34" s="1"/>
  <c r="H52" i="34" s="1"/>
  <c r="H53" i="34" s="1"/>
  <c r="B24" i="32"/>
  <c r="D24" i="32" s="1"/>
  <c r="C25" i="32" s="1"/>
  <c r="B10" i="35"/>
  <c r="E8" i="34"/>
  <c r="B29" i="34" s="1"/>
  <c r="B9" i="35"/>
  <c r="B16" i="33"/>
  <c r="D16" i="33" s="1"/>
  <c r="B7" i="35"/>
  <c r="B11" i="21"/>
  <c r="B22" i="21" s="1"/>
  <c r="B11" i="35"/>
  <c r="E7" i="34"/>
  <c r="B28" i="34" s="1"/>
  <c r="B8" i="35"/>
  <c r="B15" i="33"/>
  <c r="D15" i="33" s="1"/>
  <c r="F15" i="33" s="1"/>
  <c r="G15" i="33" s="1"/>
  <c r="B6" i="35"/>
  <c r="B15" i="37"/>
  <c r="G54" i="34"/>
  <c r="B15" i="38"/>
  <c r="E113" i="40"/>
  <c r="F113" i="40" s="1"/>
  <c r="F112" i="40"/>
  <c r="F114" i="40"/>
  <c r="F116" i="40" s="1"/>
  <c r="E116" i="40"/>
  <c r="E117" i="40" s="1"/>
  <c r="F115" i="40" s="1"/>
  <c r="F117" i="40" s="1"/>
  <c r="G115" i="40" s="1"/>
  <c r="G117" i="40" s="1"/>
  <c r="H115" i="40" s="1"/>
  <c r="H116" i="40" s="1"/>
  <c r="H118" i="40" s="1"/>
  <c r="A12" i="21"/>
  <c r="A12" i="35"/>
  <c r="E8" i="28"/>
  <c r="C10" i="28" s="1"/>
  <c r="B13" i="28" s="1"/>
  <c r="B14" i="28" s="1"/>
  <c r="B16" i="28" s="1"/>
  <c r="H10" i="28" s="1"/>
  <c r="B18" i="33"/>
  <c r="D18" i="33" s="1"/>
  <c r="B23" i="32"/>
  <c r="A24" i="32" s="1"/>
  <c r="I11" i="26"/>
  <c r="B17" i="33"/>
  <c r="D17" i="33" s="1"/>
  <c r="B20" i="31"/>
  <c r="A21" i="31" s="1"/>
  <c r="B22" i="32"/>
  <c r="D22" i="32" s="1"/>
  <c r="C23" i="32" s="1"/>
  <c r="B8" i="21"/>
  <c r="B19" i="21" s="1"/>
  <c r="I35" i="31"/>
  <c r="I36" i="31" s="1"/>
  <c r="I37" i="31" s="1"/>
  <c r="I38" i="31" s="1"/>
  <c r="I39" i="31" s="1"/>
  <c r="I37" i="32"/>
  <c r="I38" i="32" s="1"/>
  <c r="I39" i="32" s="1"/>
  <c r="I40" i="32" s="1"/>
  <c r="I41" i="32" s="1"/>
  <c r="E10" i="34"/>
  <c r="B25" i="32"/>
  <c r="D25" i="32" s="1"/>
  <c r="C9" i="30"/>
  <c r="B20" i="33"/>
  <c r="D20" i="33" s="1"/>
  <c r="B23" i="31"/>
  <c r="E9" i="34"/>
  <c r="B19" i="33"/>
  <c r="D19" i="33" s="1"/>
  <c r="F24" i="33" s="1"/>
  <c r="B10" i="21"/>
  <c r="A11" i="21" s="1"/>
  <c r="A22" i="21" s="1"/>
  <c r="A33" i="21" s="1"/>
  <c r="B22" i="31"/>
  <c r="A23" i="31" s="1"/>
  <c r="B21" i="31"/>
  <c r="A22" i="31" s="1"/>
  <c r="B9" i="21"/>
  <c r="A10" i="21" s="1"/>
  <c r="A21" i="21" s="1"/>
  <c r="A32" i="21" s="1"/>
  <c r="E6" i="34"/>
  <c r="B19" i="31"/>
  <c r="A20" i="31" s="1"/>
  <c r="B21" i="32"/>
  <c r="D21" i="32" s="1"/>
  <c r="C22" i="32" s="1"/>
  <c r="B7" i="21"/>
  <c r="B18" i="21" s="1"/>
  <c r="B18" i="31"/>
  <c r="A19" i="31" s="1"/>
  <c r="B6" i="21"/>
  <c r="A7" i="21" s="1"/>
  <c r="A18" i="21" s="1"/>
  <c r="A29" i="21" s="1"/>
  <c r="G3" i="26"/>
  <c r="E3" i="26" s="1"/>
  <c r="E5" i="34"/>
  <c r="B20" i="32"/>
  <c r="D20" i="32" s="1"/>
  <c r="B26" i="19"/>
  <c r="D26" i="19" s="1"/>
  <c r="E26" i="19" s="1"/>
  <c r="B27" i="19"/>
  <c r="B28" i="19"/>
  <c r="B29" i="19"/>
  <c r="B30" i="19"/>
  <c r="B31" i="19"/>
  <c r="D31" i="19" s="1"/>
  <c r="D8" i="34" l="1"/>
  <c r="D9" i="34"/>
  <c r="A25" i="32"/>
  <c r="A10" i="35"/>
  <c r="A21" i="35" s="1"/>
  <c r="A33" i="35" s="1"/>
  <c r="D9" i="35"/>
  <c r="C10" i="35" s="1"/>
  <c r="B20" i="35"/>
  <c r="B22" i="35"/>
  <c r="D11" i="35"/>
  <c r="B17" i="35"/>
  <c r="A7" i="35"/>
  <c r="A18" i="35" s="1"/>
  <c r="A30" i="35" s="1"/>
  <c r="D6" i="35"/>
  <c r="D7" i="35"/>
  <c r="C8" i="35" s="1"/>
  <c r="A8" i="35"/>
  <c r="A19" i="35" s="1"/>
  <c r="A31" i="35" s="1"/>
  <c r="B18" i="35"/>
  <c r="A9" i="35"/>
  <c r="A20" i="35" s="1"/>
  <c r="A32" i="35" s="1"/>
  <c r="D8" i="35"/>
  <c r="B19" i="35"/>
  <c r="B21" i="35"/>
  <c r="A11" i="35"/>
  <c r="A22" i="35" s="1"/>
  <c r="A34" i="35" s="1"/>
  <c r="D10" i="35"/>
  <c r="C11" i="35" s="1"/>
  <c r="H54" i="34"/>
  <c r="C14" i="39" s="1"/>
  <c r="C16" i="39" s="1"/>
  <c r="H8" i="37"/>
  <c r="F19" i="37" s="1"/>
  <c r="I19" i="37" s="1"/>
  <c r="F118" i="40"/>
  <c r="F119" i="40" s="1"/>
  <c r="G119" i="40" s="1"/>
  <c r="H119" i="40" s="1"/>
  <c r="D30" i="19"/>
  <c r="D29" i="19"/>
  <c r="D28" i="19"/>
  <c r="D27" i="19"/>
  <c r="E27" i="19" s="1"/>
  <c r="D23" i="32"/>
  <c r="J55" i="32" s="1"/>
  <c r="J57" i="32" s="1"/>
  <c r="J59" i="32" s="1"/>
  <c r="J61" i="32" s="1"/>
  <c r="B30" i="21"/>
  <c r="F16" i="33"/>
  <c r="G16" i="33" s="1"/>
  <c r="D29" i="34"/>
  <c r="A23" i="32"/>
  <c r="A9" i="21"/>
  <c r="A20" i="21" s="1"/>
  <c r="A31" i="21" s="1"/>
  <c r="B21" i="21"/>
  <c r="F17" i="33"/>
  <c r="F19" i="33"/>
  <c r="A21" i="32"/>
  <c r="B17" i="21"/>
  <c r="B28" i="21" s="1"/>
  <c r="F18" i="33"/>
  <c r="H26" i="33"/>
  <c r="J26" i="33" s="1"/>
  <c r="F20" i="33"/>
  <c r="A22" i="32"/>
  <c r="C10" i="30"/>
  <c r="C13" i="30"/>
  <c r="B31" i="34"/>
  <c r="D11" i="34"/>
  <c r="D10" i="34"/>
  <c r="B30" i="34"/>
  <c r="B20" i="21"/>
  <c r="B31" i="21" s="1"/>
  <c r="A8" i="21"/>
  <c r="A19" i="21" s="1"/>
  <c r="A30" i="21" s="1"/>
  <c r="B29" i="21"/>
  <c r="D7" i="34"/>
  <c r="B27" i="34"/>
  <c r="D28" i="34" s="1"/>
  <c r="G4" i="26"/>
  <c r="C21" i="32"/>
  <c r="G20" i="32"/>
  <c r="D6" i="34"/>
  <c r="B26" i="34"/>
  <c r="B33" i="21"/>
  <c r="G11" i="35" l="1"/>
  <c r="B33" i="35"/>
  <c r="D33" i="35" s="1"/>
  <c r="C34" i="35" s="1"/>
  <c r="D21" i="35"/>
  <c r="C22" i="35" s="1"/>
  <c r="G8" i="35"/>
  <c r="C9" i="35"/>
  <c r="G9" i="35" s="1"/>
  <c r="B29" i="35"/>
  <c r="D29" i="35" s="1"/>
  <c r="D17" i="35"/>
  <c r="B34" i="35"/>
  <c r="D34" i="35" s="1"/>
  <c r="D22" i="35"/>
  <c r="B30" i="35"/>
  <c r="D30" i="35" s="1"/>
  <c r="D18" i="35"/>
  <c r="B32" i="35"/>
  <c r="D32" i="35" s="1"/>
  <c r="C33" i="35" s="1"/>
  <c r="D20" i="35"/>
  <c r="C21" i="35" s="1"/>
  <c r="C7" i="35"/>
  <c r="G7" i="35" s="1"/>
  <c r="G6" i="35"/>
  <c r="H6" i="35" s="1"/>
  <c r="D19" i="35"/>
  <c r="B31" i="35"/>
  <c r="D31" i="35" s="1"/>
  <c r="G10" i="35"/>
  <c r="C24" i="32"/>
  <c r="E27" i="37"/>
  <c r="E29" i="37" s="1"/>
  <c r="C27" i="37"/>
  <c r="E23" i="37"/>
  <c r="H23" i="37" s="1"/>
  <c r="F22" i="39"/>
  <c r="C22" i="39" s="1"/>
  <c r="C20" i="39"/>
  <c r="E28" i="19"/>
  <c r="E29" i="19" s="1"/>
  <c r="E30" i="19" s="1"/>
  <c r="E31" i="19" s="1"/>
  <c r="G17" i="33"/>
  <c r="G18" i="33" s="1"/>
  <c r="G19" i="33" s="1"/>
  <c r="B32" i="21"/>
  <c r="D31" i="34"/>
  <c r="D30" i="34"/>
  <c r="D27" i="34"/>
  <c r="D26" i="34"/>
  <c r="E26" i="34" s="1"/>
  <c r="G21" i="32"/>
  <c r="G22" i="32" s="1"/>
  <c r="G23" i="32" s="1"/>
  <c r="G5" i="26"/>
  <c r="E4" i="26"/>
  <c r="H7" i="35" l="1"/>
  <c r="H8" i="35" s="1"/>
  <c r="H9" i="35" s="1"/>
  <c r="H10" i="35" s="1"/>
  <c r="H11" i="35" s="1"/>
  <c r="G34" i="35"/>
  <c r="G24" i="32"/>
  <c r="G25" i="32" s="1"/>
  <c r="G21" i="35"/>
  <c r="C30" i="35"/>
  <c r="G30" i="35" s="1"/>
  <c r="G29" i="35"/>
  <c r="H29" i="35" s="1"/>
  <c r="C20" i="35"/>
  <c r="G20" i="35" s="1"/>
  <c r="C31" i="35"/>
  <c r="G31" i="35" s="1"/>
  <c r="C32" i="35"/>
  <c r="G32" i="35" s="1"/>
  <c r="C18" i="35"/>
  <c r="G18" i="35" s="1"/>
  <c r="G17" i="35"/>
  <c r="H17" i="35" s="1"/>
  <c r="G33" i="35"/>
  <c r="C19" i="35"/>
  <c r="G19" i="35" s="1"/>
  <c r="G22" i="35"/>
  <c r="C23" i="39"/>
  <c r="C24" i="39" s="1"/>
  <c r="J24" i="33"/>
  <c r="J28" i="33" s="1"/>
  <c r="B35" i="33" s="1"/>
  <c r="G20" i="33"/>
  <c r="J56" i="32"/>
  <c r="J63" i="32" s="1"/>
  <c r="E27" i="34"/>
  <c r="E28" i="34" s="1"/>
  <c r="E29" i="34" s="1"/>
  <c r="E30" i="34" s="1"/>
  <c r="E31" i="34" s="1"/>
  <c r="G6" i="26"/>
  <c r="E5" i="26"/>
  <c r="H18" i="35" l="1"/>
  <c r="H19" i="35" s="1"/>
  <c r="H20" i="35" s="1"/>
  <c r="H21" i="35" s="1"/>
  <c r="H22" i="35" s="1"/>
  <c r="H30" i="35"/>
  <c r="H31" i="35" s="1"/>
  <c r="H32" i="35" s="1"/>
  <c r="H33" i="35" s="1"/>
  <c r="H34" i="35" s="1"/>
  <c r="D50" i="33"/>
  <c r="E43" i="33"/>
  <c r="E49" i="33" s="1"/>
  <c r="B36" i="33"/>
  <c r="E39" i="33" s="1"/>
  <c r="E41" i="33" s="1"/>
  <c r="B69" i="32"/>
  <c r="E80" i="32" s="1"/>
  <c r="E69" i="32"/>
  <c r="G7" i="26"/>
  <c r="E6" i="26"/>
  <c r="G80" i="32" l="1"/>
  <c r="H80" i="32" s="1"/>
  <c r="B100" i="41"/>
  <c r="B101" i="41" s="1"/>
  <c r="B103" i="41" s="1"/>
  <c r="B100" i="40"/>
  <c r="B101" i="40" s="1"/>
  <c r="B103" i="40" s="1"/>
  <c r="E45" i="33"/>
  <c r="F80" i="32"/>
  <c r="E70" i="32"/>
  <c r="B70" i="32"/>
  <c r="D80" i="32"/>
  <c r="G8" i="26"/>
  <c r="E8" i="26" s="1"/>
  <c r="C14" i="30" s="1"/>
  <c r="C16" i="30" s="1"/>
  <c r="E7" i="26"/>
  <c r="H8" i="28" s="1"/>
  <c r="F19" i="28" s="1"/>
  <c r="I19" i="28" s="1"/>
  <c r="E27" i="28" s="1"/>
  <c r="F22" i="30" l="1"/>
  <c r="C22" i="30" s="1"/>
  <c r="C23" i="30" s="1"/>
  <c r="C20" i="30"/>
  <c r="B72" i="32"/>
  <c r="E78" i="32"/>
  <c r="E72" i="32"/>
  <c r="G78" i="32"/>
  <c r="D78" i="32"/>
  <c r="D79" i="32" s="1"/>
  <c r="D81" i="32" s="1"/>
  <c r="C27" i="28"/>
  <c r="E29" i="28"/>
  <c r="E23" i="28"/>
  <c r="H23" i="28" s="1"/>
  <c r="E51" i="33"/>
  <c r="E55" i="33" s="1"/>
  <c r="G79" i="32" l="1"/>
  <c r="G81" i="32" s="1"/>
  <c r="H78" i="32"/>
  <c r="H79" i="32" s="1"/>
  <c r="E79" i="32"/>
  <c r="F78" i="32"/>
  <c r="D83" i="32"/>
  <c r="D82" i="32"/>
  <c r="C24" i="30"/>
  <c r="D86" i="32" l="1"/>
  <c r="E84" i="32" s="1"/>
  <c r="D85" i="32"/>
  <c r="E81" i="32"/>
  <c r="F79" i="32"/>
  <c r="E83" i="32"/>
  <c r="H81" i="32"/>
  <c r="H82" i="32" s="1"/>
  <c r="H83" i="32"/>
  <c r="H87" i="32" s="1"/>
  <c r="G82" i="32"/>
  <c r="G83" i="32"/>
  <c r="G87" i="32" s="1"/>
  <c r="E85" i="32" l="1"/>
  <c r="E86" i="32" s="1"/>
  <c r="F84" i="32" s="1"/>
  <c r="F85" i="32" s="1"/>
  <c r="F83" i="32"/>
  <c r="E82" i="32"/>
  <c r="F82" i="32" s="1"/>
  <c r="F81" i="32"/>
  <c r="E88" i="32"/>
  <c r="F87" i="32" l="1"/>
  <c r="F88" i="32" s="1"/>
  <c r="G88" i="32" s="1"/>
  <c r="H88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26" authorId="0" shapeId="0" xr:uid="{33F96A8B-D2B2-45E4-8363-86EB37D478D0}">
      <text>
        <r>
          <rPr>
            <sz val="9"/>
            <color indexed="81"/>
            <rFont val="Tahoma"/>
            <family val="2"/>
          </rPr>
          <t>Pour obtenir 18,20 comme l'indique le barème officiel il faut faire un arrondi inférieur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20" authorId="0" shapeId="0" xr:uid="{AF439974-083F-45E3-AD1F-B8582B07CB04}">
      <text>
        <r>
          <rPr>
            <sz val="9"/>
            <color indexed="81"/>
            <rFont val="Tahoma"/>
            <family val="2"/>
          </rPr>
          <t>Cf. le barême. 4*1720/12 arrondi à 2 chiffres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20" authorId="0" shapeId="0" xr:uid="{DA2446E9-D170-4FB3-B3A6-7F00317B8685}">
      <text>
        <r>
          <rPr>
            <sz val="9"/>
            <color indexed="81"/>
            <rFont val="Tahoma"/>
            <family val="2"/>
          </rPr>
          <t>Cf. le barême. 4*1720/12 arrondi à 2 chiffres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20" authorId="0" shapeId="0" xr:uid="{D4016EE5-9D83-48A9-9565-70DEBF517CE0}">
      <text>
        <r>
          <rPr>
            <sz val="9"/>
            <color indexed="81"/>
            <rFont val="Tahoma"/>
            <family val="2"/>
          </rPr>
          <t>Cf. le barême. 4*169
0/12 arrondi à 2 chiffres</t>
        </r>
      </text>
    </comment>
  </commentList>
</comments>
</file>

<file path=xl/sharedStrings.xml><?xml version="1.0" encoding="utf-8"?>
<sst xmlns="http://schemas.openxmlformats.org/spreadsheetml/2006/main" count="824" uniqueCount="259">
  <si>
    <t xml:space="preserve">Salaire net perçu </t>
  </si>
  <si>
    <t xml:space="preserve">Tranche </t>
  </si>
  <si>
    <t xml:space="preserve">Fraction saisissable </t>
  </si>
  <si>
    <t xml:space="preserve">Soit donc au total </t>
  </si>
  <si>
    <t>Cette somme représente la "quotité saisissable "</t>
  </si>
  <si>
    <t xml:space="preserve">Compte tenu de la nature de la créance il faudra donc </t>
  </si>
  <si>
    <t xml:space="preserve"> </t>
  </si>
  <si>
    <t xml:space="preserve">Sur la partie du salaire inférieur à </t>
  </si>
  <si>
    <t xml:space="preserve">Saisissable </t>
  </si>
  <si>
    <t xml:space="preserve">Saisissable chaque mois </t>
  </si>
  <si>
    <t xml:space="preserve">Montant  de la dette </t>
  </si>
  <si>
    <t xml:space="preserve">Salaire net </t>
  </si>
  <si>
    <t xml:space="preserve">Temps nécessaire </t>
  </si>
  <si>
    <t xml:space="preserve">Majoration des tranches </t>
  </si>
  <si>
    <t>Tranche</t>
  </si>
  <si>
    <t>Rémunération mensuelle</t>
  </si>
  <si>
    <t xml:space="preserve">Pas d'enfant à charge. </t>
  </si>
  <si>
    <t xml:space="preserve">Pas d'enfant à charge. Au bout de combien de temps aura-t-il remboursé sa dette ? </t>
  </si>
  <si>
    <t xml:space="preserve">Il fait l'objet d'une </t>
  </si>
  <si>
    <t xml:space="preserve">Déterminez la retenue qui sera opérée sur son bulletin de paie. </t>
  </si>
  <si>
    <t xml:space="preserve">Ce salarié est marié et a un enfant à charge </t>
  </si>
  <si>
    <t xml:space="preserve">Cumul  2 personnes à charge </t>
  </si>
  <si>
    <t xml:space="preserve">Salaire net de référence </t>
  </si>
  <si>
    <t xml:space="preserve">Baréme </t>
  </si>
  <si>
    <t>Taux applicable</t>
  </si>
  <si>
    <t>Fraction du salaire saisissable</t>
  </si>
  <si>
    <t xml:space="preserve">Fraction du salaire relativement insaisissable </t>
  </si>
  <si>
    <t>RSA</t>
  </si>
  <si>
    <t xml:space="preserve">Barème </t>
  </si>
  <si>
    <t xml:space="preserve">La créance alimentaire sera prélevée sur la fraction du salaire relativement insaisissable </t>
  </si>
  <si>
    <t>L'ATD</t>
  </si>
  <si>
    <t xml:space="preserve"> sera prélevé sur la fraction du salaire saisissable obtenue à partir du barème </t>
  </si>
  <si>
    <t xml:space="preserve">d'un ATD restant de 400 euros </t>
  </si>
  <si>
    <t xml:space="preserve">Il reste donc pour la créance ordinaire </t>
  </si>
  <si>
    <t xml:space="preserve">Créance alimentaire de 1 200  euros par mois </t>
  </si>
  <si>
    <t xml:space="preserve">Créance alimentaire de 500  euros par mois </t>
  </si>
  <si>
    <t xml:space="preserve">Un salarié a un salaire net de référence de 3 820 euros. Sa dette est de 16 320 euros. </t>
  </si>
  <si>
    <t xml:space="preserve">Saisissable en totalité </t>
  </si>
  <si>
    <t xml:space="preserve">Cf le barème </t>
  </si>
  <si>
    <t xml:space="preserve">arrondi à </t>
  </si>
  <si>
    <t xml:space="preserve">ARRONDI  à </t>
  </si>
  <si>
    <t xml:space="preserve">d'une demande de saisie pour une créance ordinaire de 4 000 euros. </t>
  </si>
  <si>
    <t>15,67 €</t>
  </si>
  <si>
    <t>482,51 + la totalité des sommes au-delà de 1 813,33 €</t>
  </si>
  <si>
    <t xml:space="preserve">Totalité </t>
  </si>
  <si>
    <t xml:space="preserve">Fraction  saisissable </t>
  </si>
  <si>
    <t>Reconstitution du Barème  2018</t>
  </si>
  <si>
    <t xml:space="preserve">Montant saisissable </t>
  </si>
  <si>
    <t xml:space="preserve">Montant saisissable Cumul  1  personne </t>
  </si>
  <si>
    <t xml:space="preserve">Montant saisissable 2 Personnes </t>
  </si>
  <si>
    <t xml:space="preserve">Fraction relativement insaisissable </t>
  </si>
  <si>
    <t xml:space="preserve">Prélévement sur la partie du salaire inférieure à </t>
  </si>
  <si>
    <t xml:space="preserve">Prélévement sur la partie du salaire comprise entre </t>
  </si>
  <si>
    <t>Tranche 2 personnes</t>
  </si>
  <si>
    <t>Cumul  2 personnes</t>
  </si>
  <si>
    <t xml:space="preserve">Sur la partie du salaire au-delà de                                   le salaire est saisissable en totalité </t>
  </si>
  <si>
    <t>Pendant                 mois</t>
  </si>
  <si>
    <t xml:space="preserve">Le             éme mois </t>
  </si>
  <si>
    <r>
      <t xml:space="preserve">Montant  </t>
    </r>
    <r>
      <rPr>
        <b/>
        <u/>
        <sz val="11"/>
        <color theme="1"/>
        <rFont val="Calibri"/>
        <family val="2"/>
        <scheme val="minor"/>
      </rPr>
      <t>Cumulé</t>
    </r>
    <r>
      <rPr>
        <b/>
        <sz val="11"/>
        <color theme="1"/>
        <rFont val="Calibri"/>
        <family val="2"/>
        <scheme val="minor"/>
      </rPr>
      <t xml:space="preserve"> maximum saisissable par mois</t>
    </r>
  </si>
  <si>
    <t xml:space="preserve">Contrôle </t>
  </si>
  <si>
    <t xml:space="preserve">Il fait l'objet d'une SAISIE relative à </t>
  </si>
  <si>
    <t xml:space="preserve">Barème sans personne à charge </t>
  </si>
  <si>
    <t xml:space="preserve">Barème avec 2 personnes à charge </t>
  </si>
  <si>
    <t>Salaire annuel</t>
  </si>
  <si>
    <t>Salaire mensuel</t>
  </si>
  <si>
    <t>Fraction</t>
  </si>
  <si>
    <t>saisissable</t>
  </si>
  <si>
    <t>De</t>
  </si>
  <si>
    <t>À</t>
  </si>
  <si>
    <t>Totalité</t>
  </si>
  <si>
    <t>Inférieure ou égale à 319,17 €</t>
  </si>
  <si>
    <t>Entre 319,17 et 623,33 € (inclus)</t>
  </si>
  <si>
    <t>Entre 623,33  et 929,17 € (inclus)</t>
  </si>
  <si>
    <t>Entre 929,17 et 1 233,33 € (inclus)</t>
  </si>
  <si>
    <t>Entre 1 233,33  et 1 537,50  € (inclus)</t>
  </si>
  <si>
    <t>Entre 1 537,50  et 1 847,50  € (inclus)</t>
  </si>
  <si>
    <t>Supérieure à 1 847,50  €</t>
  </si>
  <si>
    <t xml:space="preserve">Reconstitution du Barème avec 2  personnes à charge </t>
  </si>
  <si>
    <t xml:space="preserve">Montant saisissable Cumulé </t>
  </si>
  <si>
    <t>Reconstitution du Barème avec 1  personne à charge</t>
  </si>
  <si>
    <t xml:space="preserve">Barème avec 1  personne à charge </t>
  </si>
  <si>
    <t xml:space="preserve">Sur la partie du salaire comprise entre </t>
  </si>
  <si>
    <t xml:space="preserve">Barème avec 4  personnes à charge </t>
  </si>
  <si>
    <t xml:space="preserve">Reconstitution du Barème avec 4  personnes à charge </t>
  </si>
  <si>
    <t xml:space="preserve">Cumul  4  personnes </t>
  </si>
  <si>
    <t xml:space="preserve">Barème avec       personnes à charge </t>
  </si>
  <si>
    <t xml:space="preserve">Ce salarié est marié et  a  3  enfants  à charge </t>
  </si>
  <si>
    <t xml:space="preserve">ATD </t>
  </si>
  <si>
    <t xml:space="preserve">Montant saisissable 2 peronnes à charge </t>
  </si>
  <si>
    <t xml:space="preserve">Tranche supérieure Barême </t>
  </si>
  <si>
    <t xml:space="preserve">Tranche  Supérieure 2 personnes à charge </t>
  </si>
  <si>
    <t xml:space="preserve">  et </t>
  </si>
  <si>
    <t xml:space="preserve">Créance alimentaire </t>
  </si>
  <si>
    <t xml:space="preserve">Barême </t>
  </si>
  <si>
    <t xml:space="preserve">0 personne à charge </t>
  </si>
  <si>
    <r>
      <t xml:space="preserve">Montant  </t>
    </r>
    <r>
      <rPr>
        <b/>
        <u/>
        <sz val="12"/>
        <color theme="1"/>
        <rFont val="Times New Roman"/>
        <family val="1"/>
      </rPr>
      <t>Cumulé</t>
    </r>
    <r>
      <rPr>
        <b/>
        <sz val="12"/>
        <color theme="1"/>
        <rFont val="Times New Roman"/>
        <family val="1"/>
      </rPr>
      <t xml:space="preserve"> maximum saisissable par mois</t>
    </r>
  </si>
  <si>
    <t xml:space="preserve">pourra être prélevé </t>
  </si>
  <si>
    <t>et</t>
  </si>
  <si>
    <t>Sur la partie du salaire comprise entre</t>
  </si>
  <si>
    <t xml:space="preserve"> pourra être prélevé </t>
  </si>
  <si>
    <t xml:space="preserve">mois </t>
  </si>
  <si>
    <t xml:space="preserve">soit </t>
  </si>
  <si>
    <t xml:space="preserve"> soit </t>
  </si>
  <si>
    <t xml:space="preserve">Créance totale à récupérer </t>
  </si>
  <si>
    <t>multiplié par</t>
  </si>
  <si>
    <r>
      <t xml:space="preserve">par enfant supplémentaire : </t>
    </r>
    <r>
      <rPr>
        <b/>
        <sz val="12"/>
        <color theme="1"/>
        <rFont val="Times New Roman"/>
        <family val="1"/>
      </rPr>
      <t>220,37 euros</t>
    </r>
    <r>
      <rPr>
        <sz val="12"/>
        <color theme="1"/>
        <rFont val="Times New Roman"/>
        <family val="1"/>
      </rPr>
      <t>.</t>
    </r>
  </si>
  <si>
    <t>Le montant du RSA augmente en fonction du nombre d'enfants à charge. Depuis le 1er Avril 2023   les chiffres sont les suivants pour les personnes seules (qui ne vivent donc pas en couple).</t>
  </si>
  <si>
    <t xml:space="preserve">avec aucun enfant : </t>
  </si>
  <si>
    <t xml:space="preserve">avec un enfant : </t>
  </si>
  <si>
    <t>avec deux enfants :</t>
  </si>
  <si>
    <t xml:space="preserve">par enfant supplémentaire : </t>
  </si>
  <si>
    <t>avec trois enfants</t>
  </si>
  <si>
    <t xml:space="preserve">Barème avec  4  personnes à charge ( 3 enfants  + le conjoint) </t>
  </si>
  <si>
    <t xml:space="preserve">Les tranches mensuelles sont majorées de </t>
  </si>
  <si>
    <t xml:space="preserve"> par personne à charge </t>
  </si>
  <si>
    <t xml:space="preserve">Barème avec   4    personnes à charge </t>
  </si>
  <si>
    <t xml:space="preserve">Depuis le 1 er Avril 2023  le montant du RSA est de 607,75 pour une personne seule sans enfants. </t>
  </si>
  <si>
    <t xml:space="preserve">Montant saisissable  Cumulé 4 personnes </t>
  </si>
  <si>
    <t xml:space="preserve">Montant du prélèvement </t>
  </si>
  <si>
    <t>MOIS 1</t>
  </si>
  <si>
    <t>MOIS 2</t>
  </si>
  <si>
    <t>MOIS 3</t>
  </si>
  <si>
    <t xml:space="preserve">Décomposition du salaire et détrmination de la Fraction dite  du salaire relativement insaisissable </t>
  </si>
  <si>
    <t xml:space="preserve">ATD de 1000 euros </t>
  </si>
  <si>
    <t xml:space="preserve">Créance ordinaire de 2000 euros </t>
  </si>
  <si>
    <t xml:space="preserve">Envisagez les hypothèses suivantes </t>
  </si>
  <si>
    <t xml:space="preserve">1. Détermination d la fraction relativemnt insaisissable sur laquelle la créance alimentaire pourra venir être alimentée </t>
  </si>
  <si>
    <t xml:space="preserve">Créance alimentaire de 1000  euros </t>
  </si>
  <si>
    <t xml:space="preserve">par la fraction relativement insaisissable </t>
  </si>
  <si>
    <t xml:space="preserve"> puis par une partie du baréme</t>
  </si>
  <si>
    <t xml:space="preserve">La créance alimentaire sera alimentée </t>
  </si>
  <si>
    <t xml:space="preserve">Il reste donc  pour l'ATD sur la partie du baréme encore disponible </t>
  </si>
  <si>
    <t xml:space="preserve">L'ATD restant à rembourser </t>
  </si>
  <si>
    <t xml:space="preserve">Le premier mois, la créance ordianire ne pourra pas être remboursée . Il res te en effet au salarié </t>
  </si>
  <si>
    <t xml:space="preserve">Fraction incompressiv qui reste acquise au salarié </t>
  </si>
  <si>
    <t xml:space="preserve">Total des prèlèvements </t>
  </si>
  <si>
    <t xml:space="preserve">Utilisé pour la Créance alimentaire </t>
  </si>
  <si>
    <t xml:space="preserve">Reste  disponible </t>
  </si>
  <si>
    <t>ATD</t>
  </si>
  <si>
    <t xml:space="preserve">Prélevé  sur la partie du salaire  relativement insaisissable </t>
  </si>
  <si>
    <t xml:space="preserve">Un salarié a un salaire net de référence de 3 820 euros. Sa dette (créance ordinaire) est de 16 320 euros. </t>
  </si>
  <si>
    <t>Inférieure ou égale à 364,17 €</t>
  </si>
  <si>
    <t>Entre 364,17 et 710 € (inclus)</t>
  </si>
  <si>
    <t>Entre 1057,50 et 1 401,67 € (inclus)</t>
  </si>
  <si>
    <t>Entre 710 et 1057,50 € (inclus)</t>
  </si>
  <si>
    <t>Entre 1 401,67 et 1 747,50 € (inclus)</t>
  </si>
  <si>
    <t>Entre 1 747,50 et 2100 € (inclus)</t>
  </si>
  <si>
    <t>Supérieure à 2100 €</t>
  </si>
  <si>
    <t>558,60 + la totalité des sommes au-delà de 2100 €</t>
  </si>
  <si>
    <r>
      <t xml:space="preserve">Les seuils d'entrée dans les tranches de rémunération mensuelle sont augmentés de </t>
    </r>
    <r>
      <rPr>
        <b/>
        <sz val="12"/>
        <color theme="1"/>
        <rFont val="Times New Roman"/>
        <family val="1"/>
      </rPr>
      <t>140,83  euros par personne à charge</t>
    </r>
    <r>
      <rPr>
        <sz val="12"/>
        <color theme="1"/>
        <rFont val="Times New Roman"/>
        <family val="1"/>
      </rPr>
      <t>.</t>
    </r>
  </si>
  <si>
    <t>Reconstitution du Barème  2024</t>
  </si>
  <si>
    <t xml:space="preserve">Un salarié a une créance ordinaire de 8340 euros. Il perçoit chaque mois un salaire net de 1800 euros. </t>
  </si>
  <si>
    <t>8 340 / 359</t>
  </si>
  <si>
    <t xml:space="preserve">24 mois pour récupérer la somme due </t>
  </si>
  <si>
    <t xml:space="preserve">Soit pour le 24 éme mois </t>
  </si>
  <si>
    <t xml:space="preserve">Sur la partie du salaire au-delà de          2100                        le salaire est saisissable en totalité </t>
  </si>
  <si>
    <t xml:space="preserve">Sur la partie du salaire inférieur ou égale  à </t>
  </si>
  <si>
    <t xml:space="preserve">Un salarié dispose d'un salaire NET moyen sur les 12 derniers mois de 2 200 euros par mois </t>
  </si>
  <si>
    <t xml:space="preserve">d'un ATD ( Avis à Tiers Détenteur) restant de 400 euros </t>
  </si>
  <si>
    <t xml:space="preserve">Personne seule </t>
  </si>
  <si>
    <t xml:space="preserve">Couple </t>
  </si>
  <si>
    <t>607,75+1/2*607,75</t>
  </si>
  <si>
    <t xml:space="preserve">d'un ATD ( Avis à tiers détenteur) restant de 200 euros </t>
  </si>
  <si>
    <t xml:space="preserve">Reste disponible pour la créance ordinaire </t>
  </si>
  <si>
    <t xml:space="preserve">Depuis le 1 er Avril 2024 le montant du RSA est de 635,70 pour une personne seule et sans enfants </t>
  </si>
  <si>
    <t xml:space="preserve">2 personnes : </t>
  </si>
  <si>
    <t xml:space="preserve">Applicable  à compter du 1 er Avril 2024 </t>
  </si>
  <si>
    <t xml:space="preserve">Au titre du barême on peut donc préléver  cette somme </t>
  </si>
  <si>
    <t xml:space="preserve">La créance alimentaire est prélévée en priorité sur la fraction relativement </t>
  </si>
  <si>
    <t xml:space="preserve">insaisissable </t>
  </si>
  <si>
    <t>Barème(451,58)</t>
  </si>
  <si>
    <t>Salaire net (2200)</t>
  </si>
  <si>
    <t>A ces plafonds annuels s'ajoutent 1 690 € par personne à charge du débiteur (enfants par exemple), soit 140,83  euros par mois.</t>
  </si>
  <si>
    <t>A ces plafonds annuels s'ajoutent 1 690 € par personne à charge du débiteur (enfants par exemple), soit 140,83 euros par mois.</t>
  </si>
  <si>
    <t xml:space="preserve">Jusqu'au 31/03/2024 </t>
  </si>
  <si>
    <t xml:space="preserve">A compter du 1 er Avril   2024 </t>
  </si>
  <si>
    <t>Pendant     7     mois</t>
  </si>
  <si>
    <t xml:space="preserve">Le      8       éme mois </t>
  </si>
  <si>
    <t xml:space="preserve">Barème avec  4  personnes à charge </t>
  </si>
  <si>
    <t>Majoration des tranches  4*1690/12</t>
  </si>
  <si>
    <t>Jusqu'au 31/03/2024</t>
  </si>
  <si>
    <t xml:space="preserve">A compter du 01/04/2024 </t>
  </si>
  <si>
    <t xml:space="preserve">Seule la créance alimentaire pourra être  prélevée sur la fraction du salaire relativement insaisissable  puis si cela n'est pas suffisant sur la fraction du salaire saisissable obtenue à partir du barème </t>
  </si>
  <si>
    <t xml:space="preserve"> sera prélevé sur la fraction du salaire saisissable obtenue à partir du barème , mais une fois la créance alimentaire servie </t>
  </si>
  <si>
    <t>Barème</t>
  </si>
  <si>
    <t xml:space="preserve">Le montant du RSA augmente en fonction du nombre d'enfants à charge. Depuis le 1er Avril 2023   les chiffres sont les suivants </t>
  </si>
  <si>
    <t>Salaire net / 2200</t>
  </si>
  <si>
    <t xml:space="preserve">Reste disponible sur le barème </t>
  </si>
  <si>
    <t xml:space="preserve">ATD restant dû </t>
  </si>
  <si>
    <t xml:space="preserve">Créance ordinaire non servie </t>
  </si>
  <si>
    <t xml:space="preserve">Créance ordianire servie </t>
  </si>
  <si>
    <t xml:space="preserve">Créance alimentaire servie </t>
  </si>
  <si>
    <t>Créance alimentaire restant  à servir</t>
  </si>
  <si>
    <t xml:space="preserve">Créance alimentaire prélevée sur le barème </t>
  </si>
  <si>
    <t xml:space="preserve">ATD prélevé sur le barème </t>
  </si>
  <si>
    <t xml:space="preserve">MOIS 4 </t>
  </si>
  <si>
    <t xml:space="preserve">MOIS 5 </t>
  </si>
  <si>
    <t xml:space="preserve">Fraction du salaire saisissable chaque mois au titre du barème </t>
  </si>
  <si>
    <t>Majoration des tranches (2 pers à charge) 140,83*2</t>
  </si>
  <si>
    <t>pour un couple avec un enfant ( voir exercice précédent )</t>
  </si>
  <si>
    <t>RSA (1144,28)</t>
  </si>
  <si>
    <t>Fraction maximum utilisable pour une crance alimentaire (1055,72)</t>
  </si>
  <si>
    <t>Quotité relativement insaisissable (604,142)</t>
  </si>
  <si>
    <t xml:space="preserve">Reste à prélever </t>
  </si>
  <si>
    <t xml:space="preserve">Somme maximum prélevable au titre du barème </t>
  </si>
  <si>
    <t xml:space="preserve">L'ATD ne peut donc être servi </t>
  </si>
  <si>
    <t xml:space="preserve">Créance alimentaire non servie </t>
  </si>
  <si>
    <t>*1/3</t>
  </si>
  <si>
    <t>Fraction maximum utilisable pour une créance alimentaire (1055,72)</t>
  </si>
  <si>
    <t>Ces montants dépendent également  de la paerception de l'APL OU non</t>
  </si>
  <si>
    <t>https://www.aide-sociale.fr/montants-rsa/#seul</t>
  </si>
  <si>
    <t xml:space="preserve">Application du barème pour une personne seule </t>
  </si>
  <si>
    <t>23  mois</t>
  </si>
  <si>
    <t xml:space="preserve">Fraction relativement insaisissable  Utilisable simplement pour servir la créance alimentaire </t>
  </si>
  <si>
    <t>Reconstitution du Barême au 01/04/ 2024 ( applicable jusqu'au 30/03/2025</t>
  </si>
  <si>
    <t>Reconstitution du Barême au 01/04/ 2025 applicable jjusqu'au 30/03/2026</t>
  </si>
  <si>
    <t xml:space="preserve">Montant mensuel saisissable (pas de personne à charge) </t>
  </si>
  <si>
    <t xml:space="preserve">Montant mensuel saisisssable cumulé </t>
  </si>
  <si>
    <t>A ces plafonds annuels s'ajoutent 1 720 € par personne à charge du débiteur (enfants par exemple), soit 143,33  euros par mois.</t>
  </si>
  <si>
    <t xml:space="preserve">Reconstitution du Barème  2025 / 2026 </t>
  </si>
  <si>
    <t>Reconstitution du Barème  2024 / 2025</t>
  </si>
  <si>
    <t xml:space="preserve">Applicable  à compter du 1 er Avril 2025 </t>
  </si>
  <si>
    <t>Inférieure ou égale à 370 €</t>
  </si>
  <si>
    <t>Entre 370 et 721,67 € (inclus)</t>
  </si>
  <si>
    <t>Entre 721,67 et 1074,17€ (inclus)</t>
  </si>
  <si>
    <t>Entre 1074,17  et 1 424,17 € (inclus)</t>
  </si>
  <si>
    <t>Entre 1 424,17 et 1 775 € (inclus)</t>
  </si>
  <si>
    <t>Entre 1 775 et 2133,33€ (inclus)</t>
  </si>
  <si>
    <t>Supérieure à 2133,33 €</t>
  </si>
  <si>
    <t>567,50 + la totalité des sommes au-delà de 2133,33€</t>
  </si>
  <si>
    <r>
      <t xml:space="preserve">Les seuils d'entrée dans les tranches de rémunération mensuelle sont augmentés de </t>
    </r>
    <r>
      <rPr>
        <b/>
        <sz val="12"/>
        <color theme="1"/>
        <rFont val="Times New Roman"/>
        <family val="1"/>
      </rPr>
      <t>143,33  euros par personne à charge</t>
    </r>
    <r>
      <rPr>
        <sz val="12"/>
        <color theme="1"/>
        <rFont val="Times New Roman"/>
        <family val="1"/>
      </rPr>
      <t>.</t>
    </r>
  </si>
  <si>
    <t>Barème avec 1  personne  à charge  2025 / 2026</t>
  </si>
  <si>
    <t>Barème avec 2 personnes à charge 2025 /2026</t>
  </si>
  <si>
    <t>A ces plafonds annuels s'ajoutent 1720 € par personne à charge du débiteur (enfants par exemple), soit 143,33  euros par mois.</t>
  </si>
  <si>
    <t>A ces plafonds annuels s'ajoutent 1 720 € par personne à charge du débiteur (enfants par exemple), soit 143,33 euros par mois.</t>
  </si>
  <si>
    <t>8 340 /345</t>
  </si>
  <si>
    <t xml:space="preserve">25 mois pour récupérer la somme due </t>
  </si>
  <si>
    <t>24  mois</t>
  </si>
  <si>
    <t xml:space="preserve">Soit pour le 25 éme mois </t>
  </si>
  <si>
    <t>X  mois</t>
  </si>
  <si>
    <t xml:space="preserve">Sur la partie du salaire au-delà de        2133,33                     le salaire est saisissable en totalité </t>
  </si>
  <si>
    <t xml:space="preserve">Sur la partie du salaire inférieure  ou égale  à </t>
  </si>
  <si>
    <t>Reconstitution du Barème  2025 / 2026  applicable à compterdu 01/04/2025</t>
  </si>
  <si>
    <t>Majoration des tranches  4*1720/12</t>
  </si>
  <si>
    <t>A compter du 1 er Avril   2025</t>
  </si>
  <si>
    <t xml:space="preserve">RSA </t>
  </si>
  <si>
    <t>A compter du 01/04/2025</t>
  </si>
  <si>
    <t xml:space="preserve">Décomposition du salaire et détermination de la Fraction dite  du salaire relativement insaisissable </t>
  </si>
  <si>
    <t>RSA (1163,73)</t>
  </si>
  <si>
    <t xml:space="preserve">Fraction maximum utilisable pour une créance alimentaire </t>
  </si>
  <si>
    <t>Majoration des tranches (2 pers à charge) 143,33*2</t>
  </si>
  <si>
    <t>*2/3</t>
  </si>
  <si>
    <t>Barème(435,17)</t>
  </si>
  <si>
    <t>Quotité relativement insaisissable (604,10)</t>
  </si>
  <si>
    <t>Fraction maximum utilisable pour une crance alimentaire (1039,27)</t>
  </si>
  <si>
    <t>=604,1+435,17</t>
  </si>
  <si>
    <t>Pendant        mois</t>
  </si>
  <si>
    <t xml:space="preserve">Le           éme mois </t>
  </si>
  <si>
    <t xml:space="preserve">Depuis le 1 er Avril 2025 le montant du RSA est de 645,72  pour une personne seule et sans enfants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</si>
</sst>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€&quot;;[Red]\-#,##0\ &quot;€&quot;"/>
    <numFmt numFmtId="8" formatCode="#,##0.00\ &quot;€&quot;;[Red]\-#,##0.00\ &quot;€&quot;"/>
    <numFmt numFmtId="164" formatCode="_-* #,##0.00\ _€_-;\-* #,##0.00\ _€_-;_-* &quot;-&quot;??\ _€_-;_-@_-"/>
    <numFmt numFmtId="165" formatCode="_(* #,##0.00_);_(* \(#,##0.00\);_(* &quot;-&quot;??_);_(@_)"/>
    <numFmt numFmtId="166" formatCode="0.0000"/>
    <numFmt numFmtId="167" formatCode="_(* #,##0.000_);_(* \(#,##0.000\);_(* &quot;-&quot;??_);_(@_)"/>
    <numFmt numFmtId="168" formatCode="_-* #,##0.0000\ _€_-;\-* #,##0.0000\ _€_-;_-* &quot;-&quot;??\ _€_-;_-@_-"/>
    <numFmt numFmtId="169" formatCode="_-* #,##0.00000\ _€_-;\-* #,##0.00000\ _€_-;_-* &quot;-&quot;??\ _€_-;_-@_-"/>
    <numFmt numFmtId="170" formatCode="0.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</font>
    <font>
      <b/>
      <sz val="12"/>
      <color theme="1"/>
      <name val="Calibri"/>
      <family val="2"/>
      <scheme val="minor"/>
    </font>
    <font>
      <sz val="12"/>
      <name val="Times New Roman"/>
      <family val="1"/>
    </font>
    <font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i/>
      <sz val="12"/>
      <color theme="1"/>
      <name val="Times New Roman"/>
      <family val="1"/>
    </font>
    <font>
      <sz val="9"/>
      <color theme="0"/>
      <name val="Times New Roman"/>
      <family val="1"/>
    </font>
    <font>
      <b/>
      <i/>
      <sz val="12"/>
      <color theme="1"/>
      <name val="Times New Roman"/>
      <family val="1"/>
    </font>
    <font>
      <sz val="10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2" fillId="0" borderId="0" xfId="0" applyFont="1"/>
    <xf numFmtId="165" fontId="2" fillId="0" borderId="0" xfId="1" applyFont="1"/>
    <xf numFmtId="0" fontId="2" fillId="0" borderId="1" xfId="0" applyFont="1" applyBorder="1"/>
    <xf numFmtId="165" fontId="2" fillId="0" borderId="1" xfId="0" applyNumberFormat="1" applyFont="1" applyBorder="1"/>
    <xf numFmtId="165" fontId="2" fillId="0" borderId="1" xfId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65" fontId="2" fillId="0" borderId="1" xfId="1" applyFont="1" applyBorder="1" applyAlignment="1">
      <alignment horizontal="center"/>
    </xf>
    <xf numFmtId="165" fontId="7" fillId="0" borderId="1" xfId="1" applyFont="1" applyBorder="1" applyAlignment="1">
      <alignment horizontal="center"/>
    </xf>
    <xf numFmtId="165" fontId="7" fillId="0" borderId="1" xfId="1" applyFont="1" applyBorder="1"/>
    <xf numFmtId="13" fontId="0" fillId="0" borderId="1" xfId="0" applyNumberForma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2" borderId="1" xfId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6" fontId="4" fillId="0" borderId="1" xfId="0" applyNumberFormat="1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center" vertical="center" wrapText="1"/>
    </xf>
    <xf numFmtId="165" fontId="4" fillId="0" borderId="1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3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4" fillId="0" borderId="1" xfId="1" applyFont="1" applyBorder="1"/>
    <xf numFmtId="165" fontId="4" fillId="2" borderId="1" xfId="1" applyFont="1" applyFill="1" applyBorder="1"/>
    <xf numFmtId="165" fontId="4" fillId="0" borderId="1" xfId="1" applyFont="1" applyBorder="1" applyAlignment="1">
      <alignment horizontal="center"/>
    </xf>
    <xf numFmtId="166" fontId="0" fillId="0" borderId="0" xfId="0" applyNumberFormat="1"/>
    <xf numFmtId="13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13" fontId="4" fillId="0" borderId="1" xfId="0" applyNumberFormat="1" applyFont="1" applyBorder="1" applyAlignment="1">
      <alignment horizontal="center" vertical="center" wrapText="1"/>
    </xf>
    <xf numFmtId="0" fontId="4" fillId="0" borderId="0" xfId="0" quotePrefix="1" applyFont="1"/>
    <xf numFmtId="164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4" fillId="0" borderId="0" xfId="0" applyNumberFormat="1" applyFont="1"/>
    <xf numFmtId="0" fontId="5" fillId="0" borderId="0" xfId="0" applyFont="1"/>
    <xf numFmtId="2" fontId="4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8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165" fontId="4" fillId="0" borderId="0" xfId="1" applyFont="1"/>
    <xf numFmtId="165" fontId="5" fillId="0" borderId="1" xfId="1" applyFont="1" applyBorder="1"/>
    <xf numFmtId="165" fontId="4" fillId="0" borderId="1" xfId="0" applyNumberFormat="1" applyFont="1" applyBorder="1"/>
    <xf numFmtId="165" fontId="5" fillId="0" borderId="1" xfId="1" applyFont="1" applyBorder="1" applyAlignment="1">
      <alignment horizontal="center"/>
    </xf>
    <xf numFmtId="164" fontId="4" fillId="0" borderId="0" xfId="0" applyNumberFormat="1" applyFont="1"/>
    <xf numFmtId="164" fontId="4" fillId="0" borderId="1" xfId="0" applyNumberFormat="1" applyFont="1" applyBorder="1"/>
    <xf numFmtId="169" fontId="4" fillId="0" borderId="0" xfId="0" quotePrefix="1" applyNumberFormat="1" applyFont="1"/>
    <xf numFmtId="165" fontId="4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4" fillId="0" borderId="0" xfId="1" applyFont="1" applyBorder="1"/>
    <xf numFmtId="165" fontId="4" fillId="0" borderId="1" xfId="0" applyNumberFormat="1" applyFont="1" applyBorder="1" applyAlignment="1">
      <alignment horizontal="center" vertical="center" wrapText="1"/>
    </xf>
    <xf numFmtId="13" fontId="4" fillId="0" borderId="1" xfId="1" applyNumberFormat="1" applyFont="1" applyBorder="1"/>
    <xf numFmtId="0" fontId="4" fillId="0" borderId="0" xfId="0" applyFont="1" applyAlignment="1">
      <alignment horizontal="left" vertical="center" indent="1"/>
    </xf>
    <xf numFmtId="164" fontId="5" fillId="0" borderId="1" xfId="0" applyNumberFormat="1" applyFont="1" applyBorder="1" applyAlignment="1">
      <alignment horizontal="center"/>
    </xf>
    <xf numFmtId="170" fontId="4" fillId="0" borderId="0" xfId="0" applyNumberFormat="1" applyFont="1"/>
    <xf numFmtId="165" fontId="4" fillId="0" borderId="1" xfId="0" applyNumberFormat="1" applyFont="1" applyBorder="1" applyAlignment="1">
      <alignment horizontal="center" vertical="center"/>
    </xf>
    <xf numFmtId="165" fontId="8" fillId="3" borderId="1" xfId="1" applyFont="1" applyFill="1" applyBorder="1" applyAlignment="1">
      <alignment horizontal="center" vertical="center" wrapText="1"/>
    </xf>
    <xf numFmtId="165" fontId="4" fillId="0" borderId="0" xfId="1" applyFont="1" applyFill="1" applyBorder="1"/>
    <xf numFmtId="0" fontId="14" fillId="0" borderId="1" xfId="0" applyFont="1" applyBorder="1" applyAlignment="1">
      <alignment horizontal="center" vertical="center" wrapText="1"/>
    </xf>
    <xf numFmtId="165" fontId="4" fillId="2" borderId="1" xfId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5" fontId="4" fillId="0" borderId="0" xfId="1" applyFont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5" fontId="5" fillId="0" borderId="0" xfId="1" applyFont="1" applyBorder="1" applyAlignment="1">
      <alignment horizontal="center"/>
    </xf>
    <xf numFmtId="0" fontId="4" fillId="0" borderId="0" xfId="0" applyFont="1" applyAlignment="1">
      <alignment horizontal="left"/>
    </xf>
    <xf numFmtId="165" fontId="5" fillId="0" borderId="1" xfId="1" applyFont="1" applyBorder="1" applyAlignment="1"/>
    <xf numFmtId="165" fontId="4" fillId="0" borderId="0" xfId="1" applyFont="1" applyBorder="1" applyAlignment="1"/>
    <xf numFmtId="165" fontId="4" fillId="0" borderId="0" xfId="1" applyFont="1" applyAlignment="1"/>
    <xf numFmtId="168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165" fontId="2" fillId="0" borderId="0" xfId="1" applyFont="1" applyFill="1" applyBorder="1"/>
    <xf numFmtId="165" fontId="4" fillId="0" borderId="1" xfId="1" applyFont="1" applyFill="1" applyBorder="1" applyAlignment="1">
      <alignment horizontal="center" vertical="center" wrapText="1"/>
    </xf>
    <xf numFmtId="0" fontId="4" fillId="0" borderId="8" xfId="0" applyFont="1" applyBorder="1"/>
    <xf numFmtId="13" fontId="4" fillId="0" borderId="0" xfId="1" applyNumberFormat="1" applyFont="1" applyBorder="1"/>
    <xf numFmtId="0" fontId="15" fillId="0" borderId="0" xfId="0" applyFont="1" applyAlignment="1">
      <alignment vertical="center"/>
    </xf>
    <xf numFmtId="0" fontId="16" fillId="0" borderId="0" xfId="2" applyFont="1" applyAlignment="1" applyProtection="1">
      <alignment vertical="center"/>
    </xf>
    <xf numFmtId="165" fontId="21" fillId="7" borderId="1" xfId="1" applyFont="1" applyFill="1" applyBorder="1" applyAlignment="1">
      <alignment horizontal="center" vertical="center" wrapText="1"/>
    </xf>
    <xf numFmtId="165" fontId="21" fillId="7" borderId="1" xfId="1" applyFont="1" applyFill="1" applyBorder="1"/>
    <xf numFmtId="165" fontId="21" fillId="7" borderId="1" xfId="1" applyFont="1" applyFill="1" applyBorder="1" applyAlignment="1">
      <alignment horizontal="center"/>
    </xf>
    <xf numFmtId="164" fontId="21" fillId="7" borderId="1" xfId="0" applyNumberFormat="1" applyFont="1" applyFill="1" applyBorder="1" applyAlignment="1">
      <alignment horizontal="center"/>
    </xf>
    <xf numFmtId="13" fontId="4" fillId="0" borderId="0" xfId="1" applyNumberFormat="1" applyFont="1" applyFill="1" applyBorder="1"/>
    <xf numFmtId="0" fontId="22" fillId="7" borderId="1" xfId="0" applyFont="1" applyFill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22" fillId="7" borderId="0" xfId="0" applyFont="1" applyFill="1"/>
    <xf numFmtId="0" fontId="4" fillId="3" borderId="0" xfId="0" applyFont="1" applyFill="1"/>
    <xf numFmtId="0" fontId="15" fillId="8" borderId="0" xfId="0" applyFont="1" applyFill="1"/>
    <xf numFmtId="0" fontId="4" fillId="8" borderId="0" xfId="0" applyFont="1" applyFill="1"/>
    <xf numFmtId="0" fontId="4" fillId="8" borderId="1" xfId="0" applyFont="1" applyFill="1" applyBorder="1"/>
    <xf numFmtId="165" fontId="22" fillId="7" borderId="1" xfId="1" applyFont="1" applyFill="1" applyBorder="1"/>
    <xf numFmtId="165" fontId="22" fillId="7" borderId="1" xfId="0" applyNumberFormat="1" applyFont="1" applyFill="1" applyBorder="1"/>
    <xf numFmtId="0" fontId="22" fillId="7" borderId="1" xfId="0" applyFont="1" applyFill="1" applyBorder="1"/>
    <xf numFmtId="165" fontId="4" fillId="0" borderId="1" xfId="1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165" fontId="21" fillId="6" borderId="1" xfId="1" applyFont="1" applyFill="1" applyBorder="1" applyAlignment="1">
      <alignment horizontal="center"/>
    </xf>
    <xf numFmtId="165" fontId="4" fillId="0" borderId="0" xfId="1" applyFont="1" applyFill="1" applyBorder="1" applyAlignment="1">
      <alignment horizontal="center" vertical="center" wrapText="1"/>
    </xf>
    <xf numFmtId="8" fontId="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6" fillId="0" borderId="0" xfId="2" applyAlignment="1" applyProtection="1"/>
    <xf numFmtId="13" fontId="2" fillId="0" borderId="1" xfId="1" applyNumberFormat="1" applyFont="1" applyBorder="1" applyAlignment="1">
      <alignment horizontal="center" vertical="center" wrapText="1"/>
    </xf>
    <xf numFmtId="13" fontId="2" fillId="0" borderId="1" xfId="0" applyNumberFormat="1" applyFont="1" applyBorder="1"/>
    <xf numFmtId="13" fontId="2" fillId="0" borderId="0" xfId="0" applyNumberFormat="1" applyFont="1"/>
    <xf numFmtId="165" fontId="22" fillId="9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165" fontId="22" fillId="7" borderId="1" xfId="1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164" fontId="2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5" fontId="4" fillId="0" borderId="0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5" fontId="25" fillId="4" borderId="0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9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20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2" fillId="6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12" xfId="0" applyFont="1" applyBorder="1" applyAlignment="1">
      <alignment horizont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22" fillId="6" borderId="7" xfId="0" applyFont="1" applyFill="1" applyBorder="1" applyAlignment="1">
      <alignment horizontal="center"/>
    </xf>
    <xf numFmtId="165" fontId="4" fillId="0" borderId="1" xfId="1" applyFont="1" applyBorder="1" applyAlignment="1">
      <alignment horizontal="center" vertical="center" wrapText="1"/>
    </xf>
    <xf numFmtId="165" fontId="22" fillId="7" borderId="2" xfId="1" applyFont="1" applyFill="1" applyBorder="1" applyAlignment="1">
      <alignment horizontal="center" vertical="center" wrapText="1"/>
    </xf>
    <xf numFmtId="165" fontId="22" fillId="7" borderId="3" xfId="1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4" borderId="0" xfId="1" applyFont="1" applyFill="1" applyBorder="1" applyAlignment="1">
      <alignment horizontal="center" vertical="center" wrapText="1"/>
    </xf>
    <xf numFmtId="165" fontId="4" fillId="0" borderId="1" xfId="1" applyFont="1" applyBorder="1" applyAlignment="1">
      <alignment horizontal="center"/>
    </xf>
    <xf numFmtId="0" fontId="2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165" fontId="4" fillId="0" borderId="2" xfId="1" applyFont="1" applyBorder="1" applyAlignment="1">
      <alignment horizontal="center"/>
    </xf>
    <xf numFmtId="165" fontId="4" fillId="0" borderId="3" xfId="1" applyFont="1" applyBorder="1" applyAlignment="1">
      <alignment horizontal="center"/>
    </xf>
    <xf numFmtId="165" fontId="23" fillId="3" borderId="1" xfId="1" applyFont="1" applyFill="1" applyBorder="1" applyAlignment="1">
      <alignment horizontal="center" vertical="center" wrapText="1"/>
    </xf>
    <xf numFmtId="165" fontId="23" fillId="4" borderId="0" xfId="1" applyFont="1" applyFill="1" applyBorder="1" applyAlignment="1">
      <alignment horizontal="center" vertical="center" wrapText="1"/>
    </xf>
    <xf numFmtId="165" fontId="4" fillId="3" borderId="1" xfId="1" applyFont="1" applyFill="1" applyBorder="1" applyAlignment="1">
      <alignment horizontal="center" vertical="center" wrapText="1"/>
    </xf>
    <xf numFmtId="0" fontId="26" fillId="9" borderId="8" xfId="0" quotePrefix="1" applyFont="1" applyFill="1" applyBorder="1" applyAlignment="1">
      <alignment horizontal="center" vertical="center" wrapText="1"/>
    </xf>
    <xf numFmtId="0" fontId="26" fillId="9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 applyAlignment="1">
      <alignment horizontal="left"/>
    </xf>
    <xf numFmtId="2" fontId="26" fillId="9" borderId="1" xfId="0" applyNumberFormat="1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22" fillId="7" borderId="8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/>
    </xf>
    <xf numFmtId="0" fontId="5" fillId="2" borderId="0" xfId="0" applyFont="1" applyFill="1"/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33</xdr:row>
      <xdr:rowOff>0</xdr:rowOff>
    </xdr:from>
    <xdr:to>
      <xdr:col>7</xdr:col>
      <xdr:colOff>328392</xdr:colOff>
      <xdr:row>49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C663858-50A4-14D0-4C1C-94D9254C5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440" y="11826240"/>
          <a:ext cx="9380952" cy="32080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</xdr:row>
      <xdr:rowOff>1</xdr:rowOff>
    </xdr:from>
    <xdr:to>
      <xdr:col>7</xdr:col>
      <xdr:colOff>347440</xdr:colOff>
      <xdr:row>61</xdr:row>
      <xdr:rowOff>129541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B8CD4DF-1549-E870-69D8-54CA9052B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3440" y="15590521"/>
          <a:ext cx="9400000" cy="21107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7</xdr:col>
      <xdr:colOff>344330</xdr:colOff>
      <xdr:row>94</xdr:row>
      <xdr:rowOff>177411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414D2AC-71F5-D63D-9049-934EBA626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3355300"/>
          <a:ext cx="10250330" cy="176237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8</xdr:col>
      <xdr:colOff>698605</xdr:colOff>
      <xdr:row>82</xdr:row>
      <xdr:rowOff>160020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497A77-7483-E784-2B1C-8D6E43D00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45920" y="21595080"/>
          <a:ext cx="9850225" cy="233934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</xdr:row>
      <xdr:rowOff>259080</xdr:rowOff>
    </xdr:from>
    <xdr:to>
      <xdr:col>9</xdr:col>
      <xdr:colOff>22860</xdr:colOff>
      <xdr:row>17</xdr:row>
      <xdr:rowOff>2486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4C040CB-2DFA-CFD5-4FD5-0C54CAB5D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45920" y="4084320"/>
          <a:ext cx="9959340" cy="39039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10</xdr:row>
      <xdr:rowOff>9525</xdr:rowOff>
    </xdr:from>
    <xdr:to>
      <xdr:col>6</xdr:col>
      <xdr:colOff>733425</xdr:colOff>
      <xdr:row>15</xdr:row>
      <xdr:rowOff>142875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53429D91-4352-47EB-9843-0FC2EE60AE76}"/>
            </a:ext>
          </a:extLst>
        </xdr:cNvPr>
        <xdr:cNvCxnSpPr/>
      </xdr:nvCxnSpPr>
      <xdr:spPr>
        <a:xfrm flipH="1">
          <a:off x="2667000" y="1609725"/>
          <a:ext cx="3857625" cy="1133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10</xdr:row>
      <xdr:rowOff>9525</xdr:rowOff>
    </xdr:from>
    <xdr:to>
      <xdr:col>6</xdr:col>
      <xdr:colOff>733425</xdr:colOff>
      <xdr:row>15</xdr:row>
      <xdr:rowOff>142875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6946A531-8DE6-4820-8C20-14580BF10CAF}"/>
            </a:ext>
          </a:extLst>
        </xdr:cNvPr>
        <xdr:cNvCxnSpPr/>
      </xdr:nvCxnSpPr>
      <xdr:spPr>
        <a:xfrm flipH="1">
          <a:off x="2739390" y="1990725"/>
          <a:ext cx="3952875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10</xdr:row>
      <xdr:rowOff>9525</xdr:rowOff>
    </xdr:from>
    <xdr:to>
      <xdr:col>6</xdr:col>
      <xdr:colOff>733425</xdr:colOff>
      <xdr:row>15</xdr:row>
      <xdr:rowOff>142875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EFFAA16E-056C-49D9-9BC4-DA0162B026AF}"/>
            </a:ext>
          </a:extLst>
        </xdr:cNvPr>
        <xdr:cNvCxnSpPr/>
      </xdr:nvCxnSpPr>
      <xdr:spPr>
        <a:xfrm flipH="1">
          <a:off x="2739390" y="1990725"/>
          <a:ext cx="3952875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52</xdr:row>
      <xdr:rowOff>45720</xdr:rowOff>
    </xdr:from>
    <xdr:to>
      <xdr:col>10</xdr:col>
      <xdr:colOff>873913</xdr:colOff>
      <xdr:row>71</xdr:row>
      <xdr:rowOff>162426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3A8C794-41A6-406E-A15F-5B79F9F72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10858500"/>
          <a:ext cx="10193173" cy="3591426"/>
        </a:xfrm>
        <a:prstGeom prst="rect">
          <a:avLst/>
        </a:prstGeom>
      </xdr:spPr>
    </xdr:pic>
    <xdr:clientData/>
  </xdr:twoCellAnchor>
  <xdr:twoCellAnchor editAs="oneCell">
    <xdr:from>
      <xdr:col>0</xdr:col>
      <xdr:colOff>723900</xdr:colOff>
      <xdr:row>65</xdr:row>
      <xdr:rowOff>198120</xdr:rowOff>
    </xdr:from>
    <xdr:to>
      <xdr:col>11</xdr:col>
      <xdr:colOff>637772</xdr:colOff>
      <xdr:row>77</xdr:row>
      <xdr:rowOff>131744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C73CAE6-3A15-4DB8-9A7A-05450CE20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3900" y="14676120"/>
          <a:ext cx="10764752" cy="21434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11</xdr:col>
      <xdr:colOff>519612</xdr:colOff>
      <xdr:row>82</xdr:row>
      <xdr:rowOff>185015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FF41696-CB3A-49E9-AAD8-1DF64D2B5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0120" y="17015460"/>
          <a:ext cx="10402752" cy="1648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52</xdr:row>
      <xdr:rowOff>45720</xdr:rowOff>
    </xdr:from>
    <xdr:to>
      <xdr:col>10</xdr:col>
      <xdr:colOff>972973</xdr:colOff>
      <xdr:row>64</xdr:row>
      <xdr:rowOff>253866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F7D19E9-BA30-599F-1D04-91472519F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10492740"/>
          <a:ext cx="10193173" cy="3591426"/>
        </a:xfrm>
        <a:prstGeom prst="rect">
          <a:avLst/>
        </a:prstGeom>
      </xdr:spPr>
    </xdr:pic>
    <xdr:clientData/>
  </xdr:twoCellAnchor>
  <xdr:twoCellAnchor editAs="oneCell">
    <xdr:from>
      <xdr:col>0</xdr:col>
      <xdr:colOff>723900</xdr:colOff>
      <xdr:row>65</xdr:row>
      <xdr:rowOff>198120</xdr:rowOff>
    </xdr:from>
    <xdr:to>
      <xdr:col>11</xdr:col>
      <xdr:colOff>744452</xdr:colOff>
      <xdr:row>73</xdr:row>
      <xdr:rowOff>86024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2A20AFC-7554-E911-CEB0-74787A9D4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3900" y="14310360"/>
          <a:ext cx="10764752" cy="21434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11</xdr:col>
      <xdr:colOff>618672</xdr:colOff>
      <xdr:row>79</xdr:row>
      <xdr:rowOff>238355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A898BC4-0BF4-3237-2347-C8B73C251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0120" y="17015460"/>
          <a:ext cx="10402752" cy="1648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23</xdr:row>
      <xdr:rowOff>104775</xdr:rowOff>
    </xdr:from>
    <xdr:to>
      <xdr:col>8</xdr:col>
      <xdr:colOff>619125</xdr:colOff>
      <xdr:row>23</xdr:row>
      <xdr:rowOff>104775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B438F7F8-C94D-42A2-8731-2F3E75770B7B}"/>
            </a:ext>
          </a:extLst>
        </xdr:cNvPr>
        <xdr:cNvCxnSpPr/>
      </xdr:nvCxnSpPr>
      <xdr:spPr>
        <a:xfrm>
          <a:off x="5690235" y="6543675"/>
          <a:ext cx="216789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23</xdr:row>
      <xdr:rowOff>104775</xdr:rowOff>
    </xdr:from>
    <xdr:to>
      <xdr:col>8</xdr:col>
      <xdr:colOff>619125</xdr:colOff>
      <xdr:row>23</xdr:row>
      <xdr:rowOff>104775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727F57A1-BFA6-CE78-74E6-6E69D8ABA99F}"/>
            </a:ext>
          </a:extLst>
        </xdr:cNvPr>
        <xdr:cNvCxnSpPr/>
      </xdr:nvCxnSpPr>
      <xdr:spPr>
        <a:xfrm>
          <a:off x="4857750" y="7639050"/>
          <a:ext cx="19621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ide-sociale.fr/montants-rsa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9631C-AC9C-4F4C-8EE1-99B4C1E992C6}">
  <dimension ref="A1:I85"/>
  <sheetViews>
    <sheetView topLeftCell="A71" workbookViewId="0">
      <selection activeCell="A64" sqref="A64:XFD91"/>
    </sheetView>
  </sheetViews>
  <sheetFormatPr baseColWidth="10" defaultColWidth="11.44140625" defaultRowHeight="15.6" x14ac:dyDescent="0.3"/>
  <cols>
    <col min="1" max="1" width="12.44140625" style="21" bestFit="1" customWidth="1"/>
    <col min="2" max="2" width="11.5546875" style="21" bestFit="1" customWidth="1"/>
    <col min="3" max="5" width="32.44140625" style="21" customWidth="1"/>
    <col min="6" max="6" width="11.5546875" style="35" bestFit="1" customWidth="1"/>
    <col min="7" max="7" width="11.5546875" style="21" bestFit="1" customWidth="1"/>
    <col min="8" max="8" width="13" style="21" bestFit="1" customWidth="1"/>
    <col min="9" max="16384" width="11.44140625" style="21"/>
  </cols>
  <sheetData>
    <row r="1" spans="1:9" ht="31.8" customHeight="1" x14ac:dyDescent="0.3">
      <c r="A1" s="128" t="s">
        <v>94</v>
      </c>
      <c r="B1" s="128"/>
      <c r="C1" s="129" t="s">
        <v>166</v>
      </c>
      <c r="D1" s="129"/>
      <c r="E1" s="129"/>
      <c r="F1" s="129"/>
      <c r="G1" s="129"/>
    </row>
    <row r="2" spans="1:9" ht="39.75" customHeight="1" x14ac:dyDescent="0.3">
      <c r="A2" s="127">
        <v>2024</v>
      </c>
      <c r="B2" s="127"/>
      <c r="C2" s="36" t="s">
        <v>14</v>
      </c>
      <c r="D2" s="36" t="s">
        <v>15</v>
      </c>
      <c r="E2" s="36" t="s">
        <v>95</v>
      </c>
      <c r="F2" s="36" t="s">
        <v>45</v>
      </c>
      <c r="G2" s="36" t="s">
        <v>59</v>
      </c>
    </row>
    <row r="3" spans="1:9" ht="27.75" customHeight="1" x14ac:dyDescent="0.3">
      <c r="A3" s="37">
        <v>4370</v>
      </c>
      <c r="B3" s="25">
        <f>ROUND(A3/12,2)</f>
        <v>364.17</v>
      </c>
      <c r="C3" s="22">
        <v>1</v>
      </c>
      <c r="D3" s="22" t="s">
        <v>141</v>
      </c>
      <c r="E3" s="22">
        <f>G3</f>
        <v>18.2</v>
      </c>
      <c r="F3" s="38">
        <v>0.05</v>
      </c>
      <c r="G3" s="22">
        <f>ROUNDDOWN(B3*1/20,2)</f>
        <v>18.2</v>
      </c>
      <c r="H3" s="57"/>
    </row>
    <row r="4" spans="1:9" ht="27.75" customHeight="1" x14ac:dyDescent="0.3">
      <c r="A4" s="37">
        <v>8520</v>
      </c>
      <c r="B4" s="40">
        <f>ROUND(A4/12,2)</f>
        <v>710</v>
      </c>
      <c r="C4" s="22">
        <v>2</v>
      </c>
      <c r="D4" s="22" t="s">
        <v>142</v>
      </c>
      <c r="E4" s="24">
        <f>G4</f>
        <v>52.78</v>
      </c>
      <c r="F4" s="38">
        <v>0.1</v>
      </c>
      <c r="G4" s="24">
        <f>ROUND(((B4 -B3)*F4)+G3,2)</f>
        <v>52.78</v>
      </c>
      <c r="H4" s="39"/>
    </row>
    <row r="5" spans="1:9" ht="27.75" customHeight="1" x14ac:dyDescent="0.3">
      <c r="A5" s="41">
        <v>12690</v>
      </c>
      <c r="B5" s="40">
        <f t="shared" ref="B5:B8" si="0">ROUND(A5/12,2)</f>
        <v>1057.5</v>
      </c>
      <c r="C5" s="22">
        <v>3</v>
      </c>
      <c r="D5" s="22" t="s">
        <v>144</v>
      </c>
      <c r="E5" s="24">
        <f>G5</f>
        <v>122.28</v>
      </c>
      <c r="F5" s="38">
        <v>0.2</v>
      </c>
      <c r="G5" s="24">
        <f>ROUND(((B5 -B4)*F5)+G4,2)</f>
        <v>122.28</v>
      </c>
    </row>
    <row r="6" spans="1:9" ht="27.75" customHeight="1" x14ac:dyDescent="0.3">
      <c r="A6" s="41">
        <v>16820</v>
      </c>
      <c r="B6" s="40">
        <f t="shared" si="0"/>
        <v>1401.67</v>
      </c>
      <c r="C6" s="22">
        <v>4</v>
      </c>
      <c r="D6" s="22" t="s">
        <v>143</v>
      </c>
      <c r="E6" s="24">
        <f t="shared" ref="E6:E8" si="1">G6</f>
        <v>208.32999999999998</v>
      </c>
      <c r="F6" s="38">
        <v>0.25</v>
      </c>
      <c r="G6" s="24">
        <f>ROUNDUP(((B6 -B5)*F6)+G5,2)</f>
        <v>208.32999999999998</v>
      </c>
    </row>
    <row r="7" spans="1:9" ht="27.75" customHeight="1" x14ac:dyDescent="0.3">
      <c r="A7" s="41">
        <v>20970</v>
      </c>
      <c r="B7" s="40">
        <f t="shared" si="0"/>
        <v>1747.5</v>
      </c>
      <c r="C7" s="22">
        <v>5</v>
      </c>
      <c r="D7" s="22" t="s">
        <v>145</v>
      </c>
      <c r="E7" s="24">
        <f t="shared" si="1"/>
        <v>323.60000000000002</v>
      </c>
      <c r="F7" s="38">
        <v>0.33333333333333331</v>
      </c>
      <c r="G7" s="24">
        <f>ROUNDDOWN(((B7 -B6)*F7)+G6,2)</f>
        <v>323.60000000000002</v>
      </c>
    </row>
    <row r="8" spans="1:9" ht="27.75" customHeight="1" x14ac:dyDescent="0.3">
      <c r="A8" s="41">
        <v>25200</v>
      </c>
      <c r="B8" s="40">
        <f t="shared" si="0"/>
        <v>2100</v>
      </c>
      <c r="C8" s="22">
        <v>6</v>
      </c>
      <c r="D8" s="22" t="s">
        <v>146</v>
      </c>
      <c r="E8" s="24">
        <f t="shared" si="1"/>
        <v>558.6</v>
      </c>
      <c r="F8" s="38">
        <v>0.66666666666666663</v>
      </c>
      <c r="G8" s="24">
        <f t="shared" ref="G8" si="2">ROUND(((B8 -B7)*F8)+G7,2)</f>
        <v>558.6</v>
      </c>
    </row>
    <row r="9" spans="1:9" ht="33" customHeight="1" x14ac:dyDescent="0.3">
      <c r="C9" s="22">
        <v>7</v>
      </c>
      <c r="D9" s="22" t="s">
        <v>147</v>
      </c>
      <c r="E9" s="22" t="s">
        <v>148</v>
      </c>
      <c r="F9" s="38" t="s">
        <v>44</v>
      </c>
      <c r="G9" s="42"/>
    </row>
    <row r="11" spans="1:9" x14ac:dyDescent="0.3">
      <c r="C11" s="21" t="s">
        <v>149</v>
      </c>
      <c r="G11" s="21">
        <f>ROUND(1690/12,2)</f>
        <v>140.83000000000001</v>
      </c>
      <c r="H11" s="21" t="s">
        <v>165</v>
      </c>
      <c r="I11" s="21">
        <f>2*G11</f>
        <v>281.66000000000003</v>
      </c>
    </row>
    <row r="12" spans="1:9" ht="54.6" customHeight="1" x14ac:dyDescent="0.3">
      <c r="C12" s="91"/>
    </row>
    <row r="13" spans="1:9" ht="54.6" customHeight="1" x14ac:dyDescent="0.3">
      <c r="C13" s="92"/>
    </row>
    <row r="14" spans="1:9" ht="54.6" customHeight="1" x14ac:dyDescent="0.3">
      <c r="C14" s="92"/>
    </row>
    <row r="15" spans="1:9" ht="54.6" customHeight="1" x14ac:dyDescent="0.3">
      <c r="C15" s="91"/>
    </row>
    <row r="16" spans="1:9" ht="54.6" customHeight="1" x14ac:dyDescent="0.3"/>
    <row r="17" spans="1:9" ht="54.6" customHeight="1" x14ac:dyDescent="0.3">
      <c r="C17" s="130"/>
      <c r="D17" s="130"/>
      <c r="E17" s="130"/>
      <c r="F17" s="130"/>
      <c r="G17" s="130"/>
      <c r="H17" s="130"/>
      <c r="I17" s="130"/>
    </row>
    <row r="18" spans="1:9" x14ac:dyDescent="0.3">
      <c r="C18" s="130"/>
      <c r="D18" s="130"/>
      <c r="E18" s="130"/>
      <c r="F18" s="130"/>
      <c r="G18" s="130"/>
      <c r="H18" s="130"/>
      <c r="I18" s="130"/>
    </row>
    <row r="20" spans="1:9" x14ac:dyDescent="0.3">
      <c r="C20" s="21" t="s">
        <v>116</v>
      </c>
    </row>
    <row r="21" spans="1:9" x14ac:dyDescent="0.3">
      <c r="C21" s="21" t="s">
        <v>164</v>
      </c>
    </row>
    <row r="23" spans="1:9" ht="22.2" customHeight="1" x14ac:dyDescent="0.3">
      <c r="A23" s="61"/>
      <c r="B23" s="61"/>
      <c r="C23" s="61"/>
      <c r="F23" s="21"/>
    </row>
    <row r="24" spans="1:9" ht="29.4" customHeight="1" x14ac:dyDescent="0.3">
      <c r="A24" s="131" t="s">
        <v>175</v>
      </c>
      <c r="B24" s="131"/>
      <c r="C24" s="131"/>
      <c r="D24" s="131"/>
      <c r="E24" s="131"/>
      <c r="F24" s="131"/>
      <c r="G24" s="131"/>
    </row>
    <row r="25" spans="1:9" ht="22.2" customHeight="1" x14ac:dyDescent="0.3">
      <c r="B25" s="62"/>
      <c r="F25" s="21"/>
    </row>
    <row r="26" spans="1:9" ht="22.2" customHeight="1" x14ac:dyDescent="0.3">
      <c r="A26" s="126" t="s">
        <v>160</v>
      </c>
      <c r="B26" s="126"/>
      <c r="C26" s="70"/>
      <c r="E26" s="21" t="s">
        <v>159</v>
      </c>
      <c r="F26" s="21"/>
    </row>
    <row r="27" spans="1:9" ht="22.2" customHeight="1" x14ac:dyDescent="0.3">
      <c r="A27" s="125" t="s">
        <v>107</v>
      </c>
      <c r="B27" s="125"/>
      <c r="C27" s="21">
        <v>953.56</v>
      </c>
      <c r="E27" s="62">
        <v>635.70000000000005</v>
      </c>
      <c r="F27" s="21"/>
    </row>
    <row r="28" spans="1:9" ht="22.2" customHeight="1" x14ac:dyDescent="0.3">
      <c r="A28" s="125" t="s">
        <v>108</v>
      </c>
      <c r="B28" s="125"/>
      <c r="C28" s="21">
        <v>1144.27</v>
      </c>
      <c r="E28" s="21">
        <f>C27</f>
        <v>953.56</v>
      </c>
      <c r="F28" s="21"/>
    </row>
    <row r="29" spans="1:9" ht="22.2" customHeight="1" x14ac:dyDescent="0.3">
      <c r="A29" s="125" t="s">
        <v>109</v>
      </c>
      <c r="B29" s="125"/>
      <c r="C29" s="21">
        <v>1334.98</v>
      </c>
      <c r="E29" s="21">
        <f>C28</f>
        <v>1144.27</v>
      </c>
      <c r="F29" s="21"/>
    </row>
    <row r="30" spans="1:9" ht="22.2" customHeight="1" x14ac:dyDescent="0.3">
      <c r="A30" s="125" t="s">
        <v>110</v>
      </c>
      <c r="B30" s="125"/>
      <c r="C30" s="21">
        <v>254.28</v>
      </c>
      <c r="E30" s="21">
        <f>C30</f>
        <v>254.28</v>
      </c>
      <c r="F30" s="21"/>
    </row>
    <row r="31" spans="1:9" ht="22.2" customHeight="1" x14ac:dyDescent="0.3">
      <c r="A31" s="61"/>
      <c r="B31" s="61"/>
      <c r="C31" s="61"/>
      <c r="F31" s="21"/>
    </row>
    <row r="32" spans="1:9" ht="22.2" customHeight="1" x14ac:dyDescent="0.3">
      <c r="A32" s="125" t="s">
        <v>209</v>
      </c>
      <c r="B32" s="125"/>
      <c r="C32" s="125"/>
      <c r="D32" s="125"/>
      <c r="E32" s="125"/>
      <c r="F32" s="114" t="s">
        <v>210</v>
      </c>
    </row>
    <row r="66" spans="1:9" ht="31.8" customHeight="1" x14ac:dyDescent="0.3">
      <c r="A66" s="128" t="s">
        <v>94</v>
      </c>
      <c r="B66" s="128"/>
      <c r="C66" s="129" t="s">
        <v>221</v>
      </c>
      <c r="D66" s="129"/>
      <c r="E66" s="129"/>
      <c r="F66" s="129"/>
      <c r="G66" s="129"/>
    </row>
    <row r="67" spans="1:9" ht="39.75" customHeight="1" x14ac:dyDescent="0.3">
      <c r="A67" s="127">
        <v>2025</v>
      </c>
      <c r="B67" s="127"/>
      <c r="C67" s="36" t="s">
        <v>14</v>
      </c>
      <c r="D67" s="36" t="s">
        <v>15</v>
      </c>
      <c r="E67" s="36" t="s">
        <v>95</v>
      </c>
      <c r="F67" s="36" t="s">
        <v>45</v>
      </c>
      <c r="G67" s="36" t="s">
        <v>59</v>
      </c>
    </row>
    <row r="68" spans="1:9" ht="27.75" customHeight="1" x14ac:dyDescent="0.3">
      <c r="A68" s="37">
        <f>+'BAREME 2024 2025 PERSO SEULE '!B51</f>
        <v>4440</v>
      </c>
      <c r="B68" s="25">
        <f>ROUND(A68/12,2)</f>
        <v>370</v>
      </c>
      <c r="C68" s="22">
        <v>1</v>
      </c>
      <c r="D68" s="22" t="s">
        <v>222</v>
      </c>
      <c r="E68" s="22">
        <f>'C BAREME 2024 2025 PERS SEULE  '!E70</f>
        <v>18.5</v>
      </c>
      <c r="F68" s="38">
        <v>0.05</v>
      </c>
      <c r="G68" s="22">
        <f>ROUNDDOWN(B68*1/20,2)</f>
        <v>18.5</v>
      </c>
      <c r="H68" s="57"/>
    </row>
    <row r="69" spans="1:9" ht="27.75" customHeight="1" x14ac:dyDescent="0.3">
      <c r="A69" s="37">
        <f>+'BAREME 2024 2025 PERSO SEULE '!B52</f>
        <v>8660</v>
      </c>
      <c r="B69" s="40">
        <f>ROUND(A69/12,2)</f>
        <v>721.67</v>
      </c>
      <c r="C69" s="22">
        <v>2</v>
      </c>
      <c r="D69" s="22" t="s">
        <v>223</v>
      </c>
      <c r="E69" s="22">
        <f>'C BAREME 2024 2025 PERS SEULE  '!E71</f>
        <v>53.67</v>
      </c>
      <c r="F69" s="38">
        <v>0.1</v>
      </c>
      <c r="G69" s="24">
        <f>ROUND(((B69 -B68)*F69)+G68,2)</f>
        <v>53.67</v>
      </c>
      <c r="H69" s="39"/>
    </row>
    <row r="70" spans="1:9" ht="27.75" customHeight="1" x14ac:dyDescent="0.3">
      <c r="A70" s="37">
        <f>+'BAREME 2024 2025 PERSO SEULE '!B53</f>
        <v>12890</v>
      </c>
      <c r="B70" s="40">
        <f t="shared" ref="B70:B73" si="3">ROUND(A70/12,2)</f>
        <v>1074.17</v>
      </c>
      <c r="C70" s="22">
        <v>3</v>
      </c>
      <c r="D70" s="22" t="s">
        <v>224</v>
      </c>
      <c r="E70" s="22">
        <f>'C BAREME 2024 2025 PERS SEULE  '!E72</f>
        <v>124.17</v>
      </c>
      <c r="F70" s="38">
        <v>0.2</v>
      </c>
      <c r="G70" s="24">
        <f>ROUND(((B70 -B69)*F70)+G69,2)</f>
        <v>124.17</v>
      </c>
    </row>
    <row r="71" spans="1:9" ht="27.75" customHeight="1" x14ac:dyDescent="0.3">
      <c r="A71" s="37">
        <f>+'BAREME 2024 2025 PERSO SEULE '!B54</f>
        <v>17090</v>
      </c>
      <c r="B71" s="40">
        <f t="shared" si="3"/>
        <v>1424.17</v>
      </c>
      <c r="C71" s="22">
        <v>4</v>
      </c>
      <c r="D71" s="22" t="s">
        <v>225</v>
      </c>
      <c r="E71" s="22">
        <f>'C BAREME 2024 2025 PERS SEULE  '!E73</f>
        <v>211.67000000000002</v>
      </c>
      <c r="F71" s="38">
        <v>0.25</v>
      </c>
      <c r="G71" s="24">
        <f>ROUNDUP(((B71 -B70)*F71)+G70,2)</f>
        <v>211.67</v>
      </c>
    </row>
    <row r="72" spans="1:9" ht="27.75" customHeight="1" x14ac:dyDescent="0.3">
      <c r="A72" s="37">
        <f>+'BAREME 2024 2025 PERSO SEULE '!B55</f>
        <v>21300</v>
      </c>
      <c r="B72" s="40">
        <f t="shared" si="3"/>
        <v>1775</v>
      </c>
      <c r="C72" s="22">
        <v>5</v>
      </c>
      <c r="D72" s="22" t="s">
        <v>226</v>
      </c>
      <c r="E72" s="22">
        <f>'C BAREME 2024 2025 PERS SEULE  '!E74</f>
        <v>328.61</v>
      </c>
      <c r="F72" s="38">
        <v>0.33333333333333331</v>
      </c>
      <c r="G72" s="24">
        <f>ROUNDDOWN(((B72 -B71)*F72)+G71,2)</f>
        <v>328.61</v>
      </c>
    </row>
    <row r="73" spans="1:9" ht="27.75" customHeight="1" x14ac:dyDescent="0.3">
      <c r="A73" s="37">
        <f>+'BAREME 2024 2025 PERSO SEULE '!B56</f>
        <v>25600</v>
      </c>
      <c r="B73" s="40">
        <f t="shared" si="3"/>
        <v>2133.33</v>
      </c>
      <c r="C73" s="22">
        <v>6</v>
      </c>
      <c r="D73" s="22" t="s">
        <v>227</v>
      </c>
      <c r="E73" s="22">
        <f>'C BAREME 2024 2025 PERS SEULE  '!E75</f>
        <v>567.5</v>
      </c>
      <c r="F73" s="38">
        <v>0.66666666666666663</v>
      </c>
      <c r="G73" s="24">
        <f t="shared" ref="G73" si="4">ROUND(((B73 -B72)*F73)+G72,2)</f>
        <v>567.5</v>
      </c>
    </row>
    <row r="74" spans="1:9" ht="32.4" customHeight="1" x14ac:dyDescent="0.3">
      <c r="C74" s="22">
        <v>7</v>
      </c>
      <c r="D74" s="22" t="s">
        <v>228</v>
      </c>
      <c r="E74" s="22" t="s">
        <v>229</v>
      </c>
      <c r="F74" s="38" t="s">
        <v>44</v>
      </c>
      <c r="G74" s="42"/>
    </row>
    <row r="75" spans="1:9" hidden="1" x14ac:dyDescent="0.3"/>
    <row r="76" spans="1:9" x14ac:dyDescent="0.3">
      <c r="C76" s="21" t="s">
        <v>230</v>
      </c>
      <c r="G76" s="188">
        <f>ROUND(1720/12,2)</f>
        <v>143.33000000000001</v>
      </c>
      <c r="H76" s="21" t="s">
        <v>165</v>
      </c>
      <c r="I76" s="21">
        <f>2*G76</f>
        <v>286.66000000000003</v>
      </c>
    </row>
    <row r="77" spans="1:9" ht="93.6" customHeight="1" x14ac:dyDescent="0.3">
      <c r="C77" s="92"/>
    </row>
    <row r="78" spans="1:9" x14ac:dyDescent="0.3">
      <c r="C78" s="92"/>
    </row>
    <row r="79" spans="1:9" x14ac:dyDescent="0.3">
      <c r="C79" s="91"/>
    </row>
    <row r="81" spans="3:9" x14ac:dyDescent="0.3">
      <c r="C81" s="130"/>
      <c r="D81" s="130"/>
      <c r="E81" s="130"/>
      <c r="F81" s="130"/>
      <c r="G81" s="130"/>
      <c r="H81" s="130"/>
      <c r="I81" s="130"/>
    </row>
    <row r="82" spans="3:9" x14ac:dyDescent="0.3">
      <c r="C82" s="130"/>
      <c r="D82" s="130"/>
      <c r="E82" s="130"/>
      <c r="F82" s="130"/>
      <c r="G82" s="130"/>
      <c r="H82" s="130"/>
      <c r="I82" s="130"/>
    </row>
    <row r="84" spans="3:9" x14ac:dyDescent="0.3">
      <c r="C84" s="21" t="s">
        <v>164</v>
      </c>
    </row>
    <row r="85" spans="3:9" x14ac:dyDescent="0.3">
      <c r="C85" s="21" t="s">
        <v>258</v>
      </c>
    </row>
  </sheetData>
  <mergeCells count="15">
    <mergeCell ref="A66:B66"/>
    <mergeCell ref="C66:G66"/>
    <mergeCell ref="A67:B67"/>
    <mergeCell ref="C81:I82"/>
    <mergeCell ref="C17:I18"/>
    <mergeCell ref="A24:G24"/>
    <mergeCell ref="A2:B2"/>
    <mergeCell ref="A1:B1"/>
    <mergeCell ref="C1:G1"/>
    <mergeCell ref="A32:E32"/>
    <mergeCell ref="A26:B26"/>
    <mergeCell ref="A27:B27"/>
    <mergeCell ref="A28:B28"/>
    <mergeCell ref="A29:B29"/>
    <mergeCell ref="A30:B30"/>
  </mergeCells>
  <hyperlinks>
    <hyperlink ref="F32" r:id="rId1" location="seul" xr:uid="{D74BEFBC-5D5A-4923-9319-FAF06340E1EC}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3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0E90F-247E-4053-987E-9890FB30996E}">
  <dimension ref="A1:H24"/>
  <sheetViews>
    <sheetView topLeftCell="A2" workbookViewId="0">
      <selection activeCell="A13" sqref="A1:XFD1048576"/>
    </sheetView>
  </sheetViews>
  <sheetFormatPr baseColWidth="10" defaultColWidth="11.44140625" defaultRowHeight="15.6" x14ac:dyDescent="0.3"/>
  <cols>
    <col min="1" max="1" width="26.109375" style="21" customWidth="1"/>
    <col min="2" max="2" width="21.5546875" style="51" customWidth="1"/>
    <col min="3" max="3" width="17.33203125" style="21" customWidth="1"/>
    <col min="4" max="6" width="11.44140625" style="21"/>
    <col min="7" max="7" width="19" style="21" customWidth="1"/>
    <col min="8" max="8" width="13.5546875" style="21" bestFit="1" customWidth="1"/>
    <col min="9" max="16384" width="11.44140625" style="21"/>
  </cols>
  <sheetData>
    <row r="1" spans="1:7" x14ac:dyDescent="0.3">
      <c r="A1" s="21" t="s">
        <v>140</v>
      </c>
    </row>
    <row r="2" spans="1:7" x14ac:dyDescent="0.3">
      <c r="A2" s="21" t="s">
        <v>17</v>
      </c>
    </row>
    <row r="4" spans="1:7" x14ac:dyDescent="0.3">
      <c r="A4" s="21" t="s">
        <v>0</v>
      </c>
      <c r="B4" s="51">
        <v>3820</v>
      </c>
    </row>
    <row r="6" spans="1:7" ht="31.5" customHeight="1" x14ac:dyDescent="0.3">
      <c r="A6" s="147" t="s">
        <v>155</v>
      </c>
      <c r="B6" s="147"/>
      <c r="C6" s="147"/>
      <c r="D6" s="147"/>
      <c r="E6" s="147"/>
      <c r="F6" s="147"/>
      <c r="G6" s="147"/>
    </row>
    <row r="8" spans="1:7" ht="31.5" customHeight="1" x14ac:dyDescent="0.3">
      <c r="A8" s="147" t="s">
        <v>1</v>
      </c>
      <c r="B8" s="147"/>
      <c r="C8" s="25">
        <v>3820</v>
      </c>
    </row>
    <row r="9" spans="1:7" ht="31.5" customHeight="1" x14ac:dyDescent="0.3">
      <c r="C9" s="25">
        <f>'BAREME 2024 TABLEAU  '!B8</f>
        <v>2100</v>
      </c>
    </row>
    <row r="10" spans="1:7" ht="31.5" customHeight="1" x14ac:dyDescent="0.3">
      <c r="C10" s="93">
        <f>C8-C9</f>
        <v>1720</v>
      </c>
      <c r="E10" s="21" t="s">
        <v>37</v>
      </c>
    </row>
    <row r="13" spans="1:7" ht="26.25" customHeight="1" x14ac:dyDescent="0.3">
      <c r="A13" s="147" t="s">
        <v>156</v>
      </c>
      <c r="B13" s="147"/>
      <c r="C13" s="53">
        <f>C9</f>
        <v>2100</v>
      </c>
    </row>
    <row r="14" spans="1:7" ht="26.25" customHeight="1" x14ac:dyDescent="0.3">
      <c r="A14" s="147" t="s">
        <v>8</v>
      </c>
      <c r="B14" s="147"/>
      <c r="C14" s="94">
        <f>'BAREME 2024 TABLEAU  '!E8</f>
        <v>558.6</v>
      </c>
      <c r="E14" s="21" t="s">
        <v>38</v>
      </c>
    </row>
    <row r="15" spans="1:7" ht="26.25" customHeight="1" x14ac:dyDescent="0.3">
      <c r="C15" s="51"/>
    </row>
    <row r="16" spans="1:7" ht="26.25" customHeight="1" x14ac:dyDescent="0.3">
      <c r="A16" s="147" t="s">
        <v>9</v>
      </c>
      <c r="B16" s="147"/>
      <c r="C16" s="95">
        <f>C10+C14</f>
        <v>2278.6</v>
      </c>
      <c r="G16" s="58"/>
    </row>
    <row r="17" spans="1:8" ht="26.25" customHeight="1" x14ac:dyDescent="0.3"/>
    <row r="18" spans="1:8" ht="26.25" customHeight="1" x14ac:dyDescent="0.3">
      <c r="A18" s="147" t="s">
        <v>10</v>
      </c>
      <c r="B18" s="147"/>
      <c r="C18" s="31">
        <v>16320</v>
      </c>
    </row>
    <row r="19" spans="1:8" ht="26.25" customHeight="1" x14ac:dyDescent="0.3"/>
    <row r="20" spans="1:8" ht="26.25" customHeight="1" x14ac:dyDescent="0.3">
      <c r="A20" s="147" t="s">
        <v>12</v>
      </c>
      <c r="B20" s="147"/>
      <c r="C20" s="53">
        <f>C18/C16</f>
        <v>7.1622926358290178</v>
      </c>
    </row>
    <row r="21" spans="1:8" ht="26.25" customHeight="1" x14ac:dyDescent="0.3"/>
    <row r="22" spans="1:8" ht="26.25" customHeight="1" x14ac:dyDescent="0.3">
      <c r="A22" s="21" t="s">
        <v>176</v>
      </c>
      <c r="C22" s="31">
        <f>F22*H22</f>
        <v>15950.199999999999</v>
      </c>
      <c r="E22" s="21" t="s">
        <v>101</v>
      </c>
      <c r="F22" s="53">
        <f>C16</f>
        <v>2278.6</v>
      </c>
      <c r="G22" s="21" t="s">
        <v>104</v>
      </c>
      <c r="H22" s="56">
        <v>7</v>
      </c>
    </row>
    <row r="23" spans="1:8" ht="26.25" customHeight="1" x14ac:dyDescent="0.3">
      <c r="A23" s="21" t="s">
        <v>177</v>
      </c>
      <c r="C23" s="53">
        <f>C18-C22</f>
        <v>369.80000000000109</v>
      </c>
    </row>
    <row r="24" spans="1:8" ht="31.8" customHeight="1" x14ac:dyDescent="0.3">
      <c r="C24" s="53">
        <f>SUM(C22:C23)</f>
        <v>16320</v>
      </c>
    </row>
  </sheetData>
  <mergeCells count="7">
    <mergeCell ref="A20:B20"/>
    <mergeCell ref="A6:G6"/>
    <mergeCell ref="A8:B8"/>
    <mergeCell ref="A13:B13"/>
    <mergeCell ref="A14:B14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C3795-12DA-408D-A1DF-5C47E403668C}">
  <dimension ref="A1:H24"/>
  <sheetViews>
    <sheetView topLeftCell="A15" workbookViewId="0">
      <selection activeCell="H23" sqref="H23"/>
    </sheetView>
  </sheetViews>
  <sheetFormatPr baseColWidth="10" defaultColWidth="11.44140625" defaultRowHeight="15.6" x14ac:dyDescent="0.3"/>
  <cols>
    <col min="1" max="1" width="26.109375" style="21" customWidth="1"/>
    <col min="2" max="2" width="21.5546875" style="51" customWidth="1"/>
    <col min="3" max="3" width="17.33203125" style="21" customWidth="1"/>
    <col min="4" max="6" width="11.44140625" style="21"/>
    <col min="7" max="7" width="19" style="21" customWidth="1"/>
    <col min="8" max="8" width="13.5546875" style="21" bestFit="1" customWidth="1"/>
    <col min="9" max="16384" width="11.44140625" style="21"/>
  </cols>
  <sheetData>
    <row r="1" spans="1:7" x14ac:dyDescent="0.3">
      <c r="A1" s="21" t="s">
        <v>140</v>
      </c>
    </row>
    <row r="2" spans="1:7" x14ac:dyDescent="0.3">
      <c r="A2" s="21" t="s">
        <v>17</v>
      </c>
    </row>
    <row r="4" spans="1:7" x14ac:dyDescent="0.3">
      <c r="A4" s="21" t="s">
        <v>0</v>
      </c>
      <c r="B4" s="51">
        <v>3820</v>
      </c>
    </row>
    <row r="6" spans="1:7" ht="31.5" customHeight="1" x14ac:dyDescent="0.3">
      <c r="A6" s="147" t="s">
        <v>240</v>
      </c>
      <c r="B6" s="147"/>
      <c r="C6" s="147"/>
      <c r="D6" s="147"/>
      <c r="E6" s="147"/>
      <c r="F6" s="147"/>
      <c r="G6" s="147"/>
    </row>
    <row r="8" spans="1:7" ht="31.5" customHeight="1" x14ac:dyDescent="0.3">
      <c r="A8" s="147" t="s">
        <v>1</v>
      </c>
      <c r="B8" s="147"/>
      <c r="C8" s="25">
        <v>3820</v>
      </c>
    </row>
    <row r="9" spans="1:7" ht="31.5" customHeight="1" x14ac:dyDescent="0.3">
      <c r="C9" s="25"/>
    </row>
    <row r="10" spans="1:7" ht="31.5" customHeight="1" x14ac:dyDescent="0.3">
      <c r="C10" s="93">
        <f>C8-C9</f>
        <v>3820</v>
      </c>
      <c r="E10" s="21" t="s">
        <v>37</v>
      </c>
    </row>
    <row r="13" spans="1:7" ht="26.25" customHeight="1" x14ac:dyDescent="0.3">
      <c r="A13" s="147" t="s">
        <v>241</v>
      </c>
      <c r="B13" s="147"/>
      <c r="C13" s="53"/>
    </row>
    <row r="14" spans="1:7" ht="26.25" customHeight="1" x14ac:dyDescent="0.3">
      <c r="A14" s="147" t="s">
        <v>8</v>
      </c>
      <c r="B14" s="147"/>
      <c r="C14" s="94"/>
      <c r="E14" s="21" t="s">
        <v>38</v>
      </c>
    </row>
    <row r="15" spans="1:7" ht="26.25" customHeight="1" x14ac:dyDescent="0.3">
      <c r="C15" s="51"/>
    </row>
    <row r="16" spans="1:7" ht="26.25" customHeight="1" x14ac:dyDescent="0.3">
      <c r="A16" s="147" t="s">
        <v>9</v>
      </c>
      <c r="B16" s="147"/>
      <c r="C16" s="95"/>
      <c r="G16" s="58"/>
    </row>
    <row r="17" spans="1:8" ht="26.25" customHeight="1" x14ac:dyDescent="0.3"/>
    <row r="18" spans="1:8" ht="26.25" customHeight="1" x14ac:dyDescent="0.3">
      <c r="A18" s="147" t="s">
        <v>10</v>
      </c>
      <c r="B18" s="147"/>
      <c r="C18" s="31"/>
    </row>
    <row r="19" spans="1:8" ht="26.25" customHeight="1" x14ac:dyDescent="0.3"/>
    <row r="20" spans="1:8" ht="26.25" customHeight="1" x14ac:dyDescent="0.3">
      <c r="A20" s="147" t="s">
        <v>12</v>
      </c>
      <c r="B20" s="147"/>
      <c r="C20" s="53"/>
    </row>
    <row r="21" spans="1:8" ht="26.25" customHeight="1" x14ac:dyDescent="0.3"/>
    <row r="22" spans="1:8" ht="26.25" customHeight="1" x14ac:dyDescent="0.3">
      <c r="A22" s="21" t="s">
        <v>256</v>
      </c>
      <c r="C22" s="31"/>
      <c r="E22" s="21" t="s">
        <v>101</v>
      </c>
      <c r="F22" s="53">
        <f>C16</f>
        <v>0</v>
      </c>
      <c r="G22" s="21" t="s">
        <v>104</v>
      </c>
      <c r="H22" s="56"/>
    </row>
    <row r="23" spans="1:8" ht="26.25" customHeight="1" x14ac:dyDescent="0.3">
      <c r="A23" s="21" t="s">
        <v>257</v>
      </c>
      <c r="C23" s="106"/>
    </row>
    <row r="24" spans="1:8" ht="31.8" customHeight="1" x14ac:dyDescent="0.3">
      <c r="C24" s="53"/>
    </row>
  </sheetData>
  <mergeCells count="7">
    <mergeCell ref="A20:B20"/>
    <mergeCell ref="A6:G6"/>
    <mergeCell ref="A8:B8"/>
    <mergeCell ref="A13:B13"/>
    <mergeCell ref="A14:B14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55892-187E-4B18-A006-D461157BD5F2}">
  <dimension ref="A1:H24"/>
  <sheetViews>
    <sheetView workbookViewId="0">
      <selection sqref="A1:XFD1048576"/>
    </sheetView>
  </sheetViews>
  <sheetFormatPr baseColWidth="10" defaultColWidth="11.44140625" defaultRowHeight="15.6" x14ac:dyDescent="0.3"/>
  <cols>
    <col min="1" max="1" width="26.109375" style="21" customWidth="1"/>
    <col min="2" max="2" width="21.5546875" style="51" customWidth="1"/>
    <col min="3" max="3" width="17.33203125" style="21" customWidth="1"/>
    <col min="4" max="6" width="11.44140625" style="21"/>
    <col min="7" max="7" width="19" style="21" customWidth="1"/>
    <col min="8" max="8" width="13.5546875" style="21" bestFit="1" customWidth="1"/>
    <col min="9" max="16384" width="11.44140625" style="21"/>
  </cols>
  <sheetData>
    <row r="1" spans="1:7" x14ac:dyDescent="0.3">
      <c r="A1" s="21" t="s">
        <v>140</v>
      </c>
    </row>
    <row r="2" spans="1:7" x14ac:dyDescent="0.3">
      <c r="A2" s="21" t="s">
        <v>17</v>
      </c>
    </row>
    <row r="4" spans="1:7" x14ac:dyDescent="0.3">
      <c r="A4" s="21" t="s">
        <v>0</v>
      </c>
      <c r="B4" s="51">
        <v>3820</v>
      </c>
    </row>
    <row r="6" spans="1:7" ht="31.5" customHeight="1" x14ac:dyDescent="0.3">
      <c r="A6" s="147" t="s">
        <v>240</v>
      </c>
      <c r="B6" s="147"/>
      <c r="C6" s="147"/>
      <c r="D6" s="147"/>
      <c r="E6" s="147"/>
      <c r="F6" s="147"/>
      <c r="G6" s="147"/>
    </row>
    <row r="8" spans="1:7" ht="31.5" customHeight="1" x14ac:dyDescent="0.3">
      <c r="A8" s="147" t="s">
        <v>1</v>
      </c>
      <c r="B8" s="147"/>
      <c r="C8" s="25">
        <v>3820</v>
      </c>
    </row>
    <row r="9" spans="1:7" ht="31.5" customHeight="1" x14ac:dyDescent="0.3">
      <c r="C9" s="25">
        <f>+'C BAREME 2024 2025 PERS SEULE  '!E54</f>
        <v>2133.33</v>
      </c>
    </row>
    <row r="10" spans="1:7" ht="31.5" customHeight="1" x14ac:dyDescent="0.3">
      <c r="C10" s="93">
        <f>C8-C9</f>
        <v>1686.67</v>
      </c>
      <c r="E10" s="21" t="s">
        <v>37</v>
      </c>
    </row>
    <row r="13" spans="1:7" ht="26.25" customHeight="1" x14ac:dyDescent="0.3">
      <c r="A13" s="147" t="s">
        <v>241</v>
      </c>
      <c r="B13" s="147"/>
      <c r="C13" s="53">
        <f>C9</f>
        <v>2133.33</v>
      </c>
    </row>
    <row r="14" spans="1:7" ht="26.25" customHeight="1" x14ac:dyDescent="0.3">
      <c r="A14" s="147" t="s">
        <v>8</v>
      </c>
      <c r="B14" s="147"/>
      <c r="C14" s="94">
        <f>'C BAREME 2024 2025 PERS SEULE  '!H54</f>
        <v>567.5</v>
      </c>
      <c r="E14" s="21" t="s">
        <v>38</v>
      </c>
    </row>
    <row r="15" spans="1:7" ht="26.25" customHeight="1" x14ac:dyDescent="0.3">
      <c r="C15" s="51"/>
    </row>
    <row r="16" spans="1:7" ht="26.25" customHeight="1" x14ac:dyDescent="0.3">
      <c r="A16" s="147" t="s">
        <v>9</v>
      </c>
      <c r="B16" s="147"/>
      <c r="C16" s="95">
        <f>C10+C14</f>
        <v>2254.17</v>
      </c>
      <c r="G16" s="58"/>
    </row>
    <row r="17" spans="1:8" ht="26.25" customHeight="1" x14ac:dyDescent="0.3"/>
    <row r="18" spans="1:8" ht="26.25" customHeight="1" x14ac:dyDescent="0.3">
      <c r="A18" s="147" t="s">
        <v>10</v>
      </c>
      <c r="B18" s="147"/>
      <c r="C18" s="31">
        <v>16320</v>
      </c>
    </row>
    <row r="19" spans="1:8" ht="26.25" customHeight="1" x14ac:dyDescent="0.3"/>
    <row r="20" spans="1:8" ht="26.25" customHeight="1" x14ac:dyDescent="0.3">
      <c r="A20" s="147" t="s">
        <v>12</v>
      </c>
      <c r="B20" s="147"/>
      <c r="C20" s="53">
        <f>C18/C16</f>
        <v>7.2399153568719301</v>
      </c>
    </row>
    <row r="21" spans="1:8" ht="26.25" customHeight="1" x14ac:dyDescent="0.3"/>
    <row r="22" spans="1:8" ht="26.25" customHeight="1" x14ac:dyDescent="0.3">
      <c r="A22" s="21" t="s">
        <v>176</v>
      </c>
      <c r="C22" s="31">
        <f>F22*H22</f>
        <v>15779.19</v>
      </c>
      <c r="E22" s="21" t="s">
        <v>101</v>
      </c>
      <c r="F22" s="53">
        <f>C16</f>
        <v>2254.17</v>
      </c>
      <c r="G22" s="21" t="s">
        <v>104</v>
      </c>
      <c r="H22" s="56">
        <v>7</v>
      </c>
    </row>
    <row r="23" spans="1:8" ht="26.25" customHeight="1" x14ac:dyDescent="0.3">
      <c r="A23" s="21" t="s">
        <v>177</v>
      </c>
      <c r="C23" s="106">
        <f>C18-C22</f>
        <v>540.80999999999949</v>
      </c>
    </row>
    <row r="24" spans="1:8" ht="31.8" customHeight="1" x14ac:dyDescent="0.3">
      <c r="C24" s="53">
        <f>SUM(C22:C23)</f>
        <v>16320</v>
      </c>
    </row>
  </sheetData>
  <mergeCells count="7">
    <mergeCell ref="A20:B20"/>
    <mergeCell ref="A6:G6"/>
    <mergeCell ref="A8:B8"/>
    <mergeCell ref="A13:B13"/>
    <mergeCell ref="A14:B14"/>
    <mergeCell ref="A16:B16"/>
    <mergeCell ref="A18:B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09FD8-D828-4FEB-8474-6E0009707172}">
  <dimension ref="A2:K157"/>
  <sheetViews>
    <sheetView topLeftCell="A107" workbookViewId="0">
      <selection activeCell="H117" sqref="H117"/>
    </sheetView>
  </sheetViews>
  <sheetFormatPr baseColWidth="10" defaultColWidth="11.44140625" defaultRowHeight="15.6" x14ac:dyDescent="0.3"/>
  <cols>
    <col min="1" max="1" width="14" style="21" customWidth="1"/>
    <col min="2" max="3" width="11.44140625" style="21"/>
    <col min="4" max="4" width="11.33203125" style="21" customWidth="1"/>
    <col min="5" max="5" width="17.21875" style="21" customWidth="1"/>
    <col min="6" max="6" width="13.77734375" style="21" customWidth="1"/>
    <col min="7" max="7" width="13.44140625" style="21" customWidth="1"/>
    <col min="8" max="8" width="12.21875" style="21" bestFit="1" customWidth="1"/>
    <col min="9" max="9" width="16.6640625" style="21" customWidth="1"/>
    <col min="10" max="10" width="18.44140625" style="21" customWidth="1"/>
    <col min="11" max="11" width="16.6640625" style="21" customWidth="1"/>
    <col min="12" max="16384" width="11.44140625" style="21"/>
  </cols>
  <sheetData>
    <row r="2" spans="2:11" x14ac:dyDescent="0.3">
      <c r="B2" s="21" t="s">
        <v>157</v>
      </c>
    </row>
    <row r="4" spans="2:11" x14ac:dyDescent="0.3">
      <c r="B4" s="21" t="s">
        <v>60</v>
      </c>
    </row>
    <row r="6" spans="2:11" x14ac:dyDescent="0.3">
      <c r="E6" s="21" t="s">
        <v>35</v>
      </c>
    </row>
    <row r="7" spans="2:11" x14ac:dyDescent="0.3">
      <c r="E7" s="21" t="s">
        <v>158</v>
      </c>
    </row>
    <row r="8" spans="2:11" x14ac:dyDescent="0.3">
      <c r="E8" s="21" t="s">
        <v>41</v>
      </c>
    </row>
    <row r="10" spans="2:11" x14ac:dyDescent="0.3">
      <c r="B10" s="21" t="s">
        <v>86</v>
      </c>
    </row>
    <row r="11" spans="2:11" x14ac:dyDescent="0.3">
      <c r="J11" s="30"/>
      <c r="K11" s="55"/>
    </row>
    <row r="12" spans="2:11" x14ac:dyDescent="0.3">
      <c r="B12" s="21" t="s">
        <v>113</v>
      </c>
      <c r="F12" s="30">
        <f>'BAREME 2024  et 2025 C '!E8</f>
        <v>140.83000000000001</v>
      </c>
      <c r="G12" s="21" t="s">
        <v>114</v>
      </c>
      <c r="J12" s="30"/>
    </row>
    <row r="14" spans="2:11" x14ac:dyDescent="0.3">
      <c r="B14" s="44" t="s">
        <v>19</v>
      </c>
      <c r="C14" s="44"/>
      <c r="D14" s="44"/>
    </row>
    <row r="16" spans="2:11" ht="27.6" customHeight="1" x14ac:dyDescent="0.3">
      <c r="B16" s="165" t="s">
        <v>242</v>
      </c>
      <c r="C16" s="165"/>
      <c r="D16" s="165"/>
      <c r="E16" s="165"/>
      <c r="F16" s="165"/>
      <c r="G16" s="165"/>
      <c r="H16" s="165"/>
      <c r="I16" s="165"/>
      <c r="J16" s="165"/>
      <c r="K16" s="165"/>
    </row>
    <row r="17" spans="1:11" x14ac:dyDescent="0.3"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30" customHeight="1" x14ac:dyDescent="0.3">
      <c r="B18" s="30"/>
      <c r="C18" s="127" t="s">
        <v>178</v>
      </c>
      <c r="D18" s="127"/>
      <c r="E18" s="127"/>
      <c r="F18" s="30"/>
      <c r="G18" s="30"/>
      <c r="H18" s="30"/>
      <c r="I18" s="30"/>
      <c r="J18" s="30"/>
    </row>
    <row r="19" spans="1:11" ht="60.75" customHeight="1" x14ac:dyDescent="0.3">
      <c r="A19" s="127" t="s">
        <v>61</v>
      </c>
      <c r="B19" s="127"/>
      <c r="C19" s="148" t="s">
        <v>115</v>
      </c>
      <c r="D19" s="150"/>
      <c r="E19" s="22" t="s">
        <v>243</v>
      </c>
      <c r="F19" s="60" t="s">
        <v>2</v>
      </c>
      <c r="G19" s="60" t="s">
        <v>117</v>
      </c>
      <c r="H19" s="61"/>
      <c r="I19" s="61"/>
      <c r="J19" s="61"/>
      <c r="K19" s="67"/>
    </row>
    <row r="20" spans="1:11" ht="33" customHeight="1" x14ac:dyDescent="0.3">
      <c r="A20" s="22"/>
      <c r="B20" s="69">
        <f>+'C BAREME 2024 2025 PERS SEULE  '!E49</f>
        <v>370</v>
      </c>
      <c r="D20" s="88"/>
      <c r="E20" s="69"/>
      <c r="F20" s="28">
        <f>1/20</f>
        <v>0.05</v>
      </c>
      <c r="G20" s="25">
        <f>ROUND(D20*F20,2)</f>
        <v>0</v>
      </c>
      <c r="H20" s="70"/>
      <c r="I20" s="62"/>
      <c r="J20" s="62"/>
    </row>
    <row r="21" spans="1:11" ht="33" customHeight="1" x14ac:dyDescent="0.3">
      <c r="A21" s="63">
        <f>B20</f>
        <v>370</v>
      </c>
      <c r="B21" s="69">
        <f>+'C BAREME 2024 2025 PERS SEULE  '!E50</f>
        <v>721.67</v>
      </c>
      <c r="C21" s="88"/>
      <c r="D21" s="68"/>
      <c r="E21" s="69"/>
      <c r="F21" s="28">
        <v>0.1</v>
      </c>
      <c r="G21" s="25">
        <f>ROUND((D21-C21)*F21+G20,2)</f>
        <v>0</v>
      </c>
      <c r="H21" s="70"/>
      <c r="I21" s="62"/>
      <c r="J21" s="62"/>
    </row>
    <row r="22" spans="1:11" ht="33" customHeight="1" x14ac:dyDescent="0.3">
      <c r="A22" s="63">
        <f t="shared" ref="A22:A25" si="0">B21</f>
        <v>721.67</v>
      </c>
      <c r="B22" s="69">
        <f>+'C BAREME 2024 2025 PERS SEULE  '!E51</f>
        <v>1074.17</v>
      </c>
      <c r="C22" s="88"/>
      <c r="D22" s="68"/>
      <c r="E22" s="69"/>
      <c r="F22" s="28">
        <v>0.2</v>
      </c>
      <c r="G22" s="25">
        <f t="shared" ref="G22:G25" si="1">ROUND((D22-C22)*F22+G21,2)</f>
        <v>0</v>
      </c>
      <c r="H22" s="70"/>
      <c r="I22" s="62"/>
      <c r="J22" s="62"/>
    </row>
    <row r="23" spans="1:11" ht="33" customHeight="1" x14ac:dyDescent="0.3">
      <c r="A23" s="63">
        <f t="shared" si="0"/>
        <v>1074.17</v>
      </c>
      <c r="B23" s="69">
        <f>+'C BAREME 2024 2025 PERS SEULE  '!E52</f>
        <v>1424.17</v>
      </c>
      <c r="C23" s="88"/>
      <c r="D23" s="68"/>
      <c r="E23" s="69"/>
      <c r="F23" s="28">
        <v>0.25</v>
      </c>
      <c r="G23" s="25">
        <f t="shared" si="1"/>
        <v>0</v>
      </c>
      <c r="H23" s="70"/>
      <c r="I23" s="62"/>
      <c r="J23" s="62"/>
    </row>
    <row r="24" spans="1:11" ht="33" customHeight="1" x14ac:dyDescent="0.3">
      <c r="A24" s="63">
        <f t="shared" si="0"/>
        <v>1424.17</v>
      </c>
      <c r="B24" s="69">
        <f>+'C BAREME 2024 2025 PERS SEULE  '!E53</f>
        <v>1775</v>
      </c>
      <c r="C24" s="88"/>
      <c r="D24" s="68"/>
      <c r="E24" s="69"/>
      <c r="F24" s="28">
        <v>0.33333333333333331</v>
      </c>
      <c r="G24" s="25">
        <f t="shared" si="1"/>
        <v>0</v>
      </c>
      <c r="H24" s="70"/>
      <c r="I24" s="62"/>
      <c r="J24" s="62"/>
    </row>
    <row r="25" spans="1:11" ht="33" customHeight="1" x14ac:dyDescent="0.3">
      <c r="A25" s="63">
        <f t="shared" si="0"/>
        <v>1775</v>
      </c>
      <c r="B25" s="69">
        <f>+'C BAREME 2024 2025 PERS SEULE  '!E54</f>
        <v>2133.33</v>
      </c>
      <c r="C25" s="88"/>
      <c r="D25" s="68"/>
      <c r="E25" s="69"/>
      <c r="F25" s="28">
        <v>0.66666666666666663</v>
      </c>
      <c r="G25" s="25">
        <f t="shared" si="1"/>
        <v>0</v>
      </c>
      <c r="H25" s="70"/>
      <c r="I25" s="62"/>
      <c r="J25" s="62"/>
    </row>
    <row r="27" spans="1:11" x14ac:dyDescent="0.3">
      <c r="A27" s="166" t="s">
        <v>106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</row>
    <row r="28" spans="1:11" ht="9.75" customHeight="1" x14ac:dyDescent="0.3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</row>
    <row r="29" spans="1:11" ht="31.5" hidden="1" customHeight="1" x14ac:dyDescent="0.3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ht="31.5" hidden="1" customHeight="1" x14ac:dyDescent="0.3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</row>
    <row r="31" spans="1:11" x14ac:dyDescent="0.3">
      <c r="A31" s="166"/>
      <c r="B31" s="166"/>
      <c r="C31" s="166"/>
      <c r="D31" s="166"/>
      <c r="E31" s="166"/>
      <c r="F31" s="166"/>
      <c r="G31" s="166"/>
      <c r="H31" s="166"/>
      <c r="I31" s="166"/>
      <c r="J31" s="166"/>
      <c r="K31" s="166"/>
    </row>
    <row r="32" spans="1:11" ht="15" hidden="1" customHeight="1" x14ac:dyDescent="0.3">
      <c r="A32" s="65" t="s">
        <v>105</v>
      </c>
    </row>
    <row r="33" spans="1:11" hidden="1" x14ac:dyDescent="0.3">
      <c r="B33" s="167" t="s">
        <v>46</v>
      </c>
      <c r="C33" s="167"/>
      <c r="D33" s="167"/>
      <c r="E33" s="167"/>
      <c r="F33" s="167"/>
      <c r="G33" s="167"/>
      <c r="H33" s="167"/>
      <c r="I33" s="167"/>
      <c r="J33" s="167"/>
      <c r="K33" s="167"/>
    </row>
    <row r="34" spans="1:11" hidden="1" x14ac:dyDescent="0.3">
      <c r="B34" s="30"/>
      <c r="C34" s="30"/>
      <c r="D34" s="30"/>
      <c r="E34" s="30"/>
      <c r="F34" s="30"/>
      <c r="G34" s="30"/>
      <c r="H34" s="30"/>
      <c r="I34" s="30"/>
      <c r="J34" s="30"/>
    </row>
    <row r="35" spans="1:11" ht="60.75" hidden="1" customHeight="1" x14ac:dyDescent="0.3">
      <c r="E35" s="22" t="s">
        <v>13</v>
      </c>
      <c r="F35" s="60" t="s">
        <v>53</v>
      </c>
      <c r="G35" s="60" t="s">
        <v>2</v>
      </c>
      <c r="H35" s="60" t="s">
        <v>47</v>
      </c>
      <c r="I35" s="22" t="s">
        <v>48</v>
      </c>
      <c r="J35" s="22" t="s">
        <v>49</v>
      </c>
      <c r="K35" s="22" t="s">
        <v>54</v>
      </c>
    </row>
    <row r="36" spans="1:11" hidden="1" x14ac:dyDescent="0.3">
      <c r="B36" s="31">
        <v>313.33</v>
      </c>
      <c r="C36" s="31"/>
      <c r="D36" s="31"/>
      <c r="E36" s="31"/>
      <c r="F36" s="32"/>
      <c r="G36" s="64">
        <f>1/20</f>
        <v>0.05</v>
      </c>
      <c r="H36" s="31">
        <f>ROUND(B36*G36,2)</f>
        <v>15.67</v>
      </c>
      <c r="I36" s="31">
        <f>ROUND(H36,2)</f>
        <v>15.67</v>
      </c>
      <c r="J36" s="31"/>
      <c r="K36" s="32"/>
    </row>
    <row r="37" spans="1:11" hidden="1" x14ac:dyDescent="0.3">
      <c r="B37" s="31">
        <v>611.66999999999996</v>
      </c>
      <c r="C37" s="31"/>
      <c r="D37" s="31"/>
      <c r="E37" s="31"/>
      <c r="F37" s="32"/>
      <c r="G37" s="64">
        <v>0.1</v>
      </c>
      <c r="H37" s="31">
        <f>ROUND((B37-B36)*G37,2)</f>
        <v>29.83</v>
      </c>
      <c r="I37" s="31">
        <f>I36+H37</f>
        <v>45.5</v>
      </c>
      <c r="J37" s="31"/>
      <c r="K37" s="32"/>
    </row>
    <row r="38" spans="1:11" hidden="1" x14ac:dyDescent="0.3">
      <c r="B38" s="31">
        <v>911.67</v>
      </c>
      <c r="C38" s="31"/>
      <c r="D38" s="31"/>
      <c r="E38" s="31"/>
      <c r="F38" s="32"/>
      <c r="G38" s="64">
        <v>0.2</v>
      </c>
      <c r="H38" s="31">
        <f>ROUND((B38-B37)*G38,2)</f>
        <v>60</v>
      </c>
      <c r="I38" s="31">
        <f t="shared" ref="I38:I41" si="2">I37+H38</f>
        <v>105.5</v>
      </c>
      <c r="J38" s="31"/>
      <c r="K38" s="32"/>
    </row>
    <row r="39" spans="1:11" hidden="1" x14ac:dyDescent="0.3">
      <c r="B39" s="31">
        <v>1210.83</v>
      </c>
      <c r="C39" s="31"/>
      <c r="D39" s="31"/>
      <c r="E39" s="31"/>
      <c r="F39" s="32"/>
      <c r="G39" s="64">
        <v>0.25</v>
      </c>
      <c r="H39" s="31">
        <f>ROUND((B39-B38)*G39,2)</f>
        <v>74.790000000000006</v>
      </c>
      <c r="I39" s="31">
        <f t="shared" si="2"/>
        <v>180.29000000000002</v>
      </c>
      <c r="J39" s="31"/>
      <c r="K39" s="32"/>
    </row>
    <row r="40" spans="1:11" hidden="1" x14ac:dyDescent="0.3">
      <c r="B40" s="31">
        <v>1509.17</v>
      </c>
      <c r="C40" s="31"/>
      <c r="D40" s="31"/>
      <c r="E40" s="31"/>
      <c r="F40" s="32"/>
      <c r="G40" s="64">
        <v>0.33333333333333331</v>
      </c>
      <c r="H40" s="31">
        <f>ROUND((B40-B39)*G40,2)</f>
        <v>99.45</v>
      </c>
      <c r="I40" s="31">
        <f t="shared" si="2"/>
        <v>279.74</v>
      </c>
      <c r="J40" s="31"/>
      <c r="K40" s="32"/>
    </row>
    <row r="41" spans="1:11" hidden="1" x14ac:dyDescent="0.3">
      <c r="B41" s="31">
        <v>1813.33</v>
      </c>
      <c r="C41" s="31"/>
      <c r="D41" s="31"/>
      <c r="E41" s="31"/>
      <c r="F41" s="32"/>
      <c r="G41" s="64">
        <v>0.66666666666666663</v>
      </c>
      <c r="H41" s="31">
        <f>ROUND((B41-B40)*G41,2)</f>
        <v>202.77</v>
      </c>
      <c r="I41" s="31">
        <f t="shared" si="2"/>
        <v>482.51</v>
      </c>
      <c r="J41" s="31"/>
      <c r="K41" s="32"/>
    </row>
    <row r="42" spans="1:11" ht="28.8" customHeight="1" x14ac:dyDescent="0.3">
      <c r="B42" s="62"/>
      <c r="C42" s="163" t="s">
        <v>244</v>
      </c>
      <c r="D42" s="163"/>
      <c r="E42" s="163"/>
      <c r="F42" s="163"/>
      <c r="G42" s="163"/>
      <c r="H42" s="62"/>
    </row>
    <row r="43" spans="1:11" ht="28.8" customHeight="1" x14ac:dyDescent="0.3">
      <c r="B43" s="70"/>
      <c r="C43" s="111"/>
      <c r="D43" s="111"/>
      <c r="E43" s="111"/>
      <c r="F43" s="111"/>
      <c r="G43" s="111"/>
      <c r="H43" s="70"/>
    </row>
    <row r="44" spans="1:11" x14ac:dyDescent="0.3">
      <c r="B44" s="62"/>
      <c r="C44" s="62"/>
      <c r="D44" s="62"/>
      <c r="E44" s="164" t="s">
        <v>245</v>
      </c>
      <c r="F44" s="164"/>
      <c r="G44" s="90"/>
      <c r="H44" s="62"/>
      <c r="I44" s="62"/>
      <c r="J44" s="62"/>
      <c r="K44" s="70"/>
    </row>
    <row r="45" spans="1:11" x14ac:dyDescent="0.3">
      <c r="A45" s="21" t="s">
        <v>159</v>
      </c>
      <c r="B45" s="62"/>
      <c r="F45" s="62">
        <f>645.72</f>
        <v>645.72</v>
      </c>
      <c r="G45" s="90"/>
      <c r="H45" s="62"/>
      <c r="J45" s="62"/>
    </row>
    <row r="46" spans="1:11" x14ac:dyDescent="0.3">
      <c r="A46" s="21" t="s">
        <v>160</v>
      </c>
      <c r="B46" s="62"/>
      <c r="C46" s="62"/>
      <c r="D46" s="62"/>
      <c r="F46" s="70"/>
      <c r="G46" s="62"/>
      <c r="H46" s="62"/>
      <c r="I46" s="126"/>
      <c r="J46" s="126"/>
      <c r="K46" s="70"/>
    </row>
    <row r="47" spans="1:11" ht="22.2" customHeight="1" x14ac:dyDescent="0.3">
      <c r="A47" s="125" t="s">
        <v>107</v>
      </c>
      <c r="B47" s="125"/>
      <c r="C47" s="61"/>
      <c r="E47" s="21">
        <v>969.78</v>
      </c>
      <c r="G47" s="43"/>
      <c r="I47" s="125"/>
      <c r="J47" s="125"/>
    </row>
    <row r="48" spans="1:11" ht="22.2" customHeight="1" x14ac:dyDescent="0.3">
      <c r="A48" s="125" t="s">
        <v>108</v>
      </c>
      <c r="B48" s="125"/>
      <c r="C48" s="61"/>
      <c r="E48" s="21">
        <v>1163.73</v>
      </c>
      <c r="F48" s="21">
        <v>969.78</v>
      </c>
      <c r="I48" s="125"/>
      <c r="J48" s="125"/>
    </row>
    <row r="49" spans="1:10" ht="22.2" customHeight="1" x14ac:dyDescent="0.3">
      <c r="A49" s="125" t="s">
        <v>109</v>
      </c>
      <c r="B49" s="125"/>
      <c r="C49" s="61"/>
      <c r="E49" s="21">
        <v>1357.69</v>
      </c>
      <c r="F49" s="21">
        <v>1163.73</v>
      </c>
      <c r="I49" s="125"/>
      <c r="J49" s="125"/>
    </row>
    <row r="50" spans="1:10" ht="22.2" customHeight="1" x14ac:dyDescent="0.3">
      <c r="A50" s="125" t="s">
        <v>111</v>
      </c>
      <c r="B50" s="125"/>
      <c r="C50" s="61"/>
      <c r="E50" s="21">
        <v>1616.3</v>
      </c>
      <c r="I50" s="125"/>
      <c r="J50" s="125"/>
    </row>
    <row r="51" spans="1:10" ht="22.2" customHeight="1" x14ac:dyDescent="0.3">
      <c r="A51" s="125" t="s">
        <v>110</v>
      </c>
      <c r="B51" s="125"/>
      <c r="C51" s="61"/>
      <c r="E51" s="21">
        <v>258.61</v>
      </c>
      <c r="F51" s="21">
        <v>258.61</v>
      </c>
    </row>
    <row r="52" spans="1:10" ht="22.2" customHeight="1" x14ac:dyDescent="0.3">
      <c r="A52" s="61"/>
      <c r="B52" s="61"/>
      <c r="C52" s="61"/>
    </row>
    <row r="53" spans="1:10" ht="22.2" customHeight="1" x14ac:dyDescent="0.3">
      <c r="A53" s="61"/>
      <c r="B53" s="61"/>
      <c r="C53" s="61"/>
    </row>
    <row r="54" spans="1:10" ht="22.2" customHeight="1" x14ac:dyDescent="0.3">
      <c r="A54" s="61"/>
      <c r="B54" s="61"/>
      <c r="C54" s="61"/>
    </row>
    <row r="55" spans="1:10" ht="22.2" customHeight="1" x14ac:dyDescent="0.3">
      <c r="A55" s="61"/>
      <c r="B55" s="61"/>
      <c r="C55" s="61"/>
    </row>
    <row r="56" spans="1:10" ht="22.2" customHeight="1" x14ac:dyDescent="0.3">
      <c r="A56" s="61"/>
      <c r="B56" s="61"/>
      <c r="C56" s="61"/>
    </row>
    <row r="57" spans="1:10" ht="22.2" customHeight="1" x14ac:dyDescent="0.3">
      <c r="A57" s="61"/>
      <c r="B57" s="61"/>
      <c r="C57" s="61"/>
    </row>
    <row r="58" spans="1:10" ht="22.2" customHeight="1" x14ac:dyDescent="0.3">
      <c r="A58" s="61"/>
      <c r="B58" s="61"/>
      <c r="C58" s="61"/>
    </row>
    <row r="59" spans="1:10" ht="22.2" customHeight="1" x14ac:dyDescent="0.3">
      <c r="A59" s="61"/>
      <c r="B59" s="61"/>
      <c r="C59" s="61"/>
    </row>
    <row r="60" spans="1:10" ht="22.2" customHeight="1" x14ac:dyDescent="0.3">
      <c r="A60" s="61"/>
      <c r="B60" s="61"/>
      <c r="C60" s="61"/>
    </row>
    <row r="61" spans="1:10" ht="22.2" customHeight="1" x14ac:dyDescent="0.3">
      <c r="A61" s="61"/>
      <c r="B61" s="61"/>
      <c r="C61" s="61"/>
    </row>
    <row r="62" spans="1:10" ht="22.2" customHeight="1" x14ac:dyDescent="0.3">
      <c r="A62" s="61"/>
      <c r="B62" s="61"/>
      <c r="C62" s="61"/>
    </row>
    <row r="63" spans="1:10" ht="22.2" customHeight="1" x14ac:dyDescent="0.3">
      <c r="A63" s="61"/>
      <c r="B63" s="61"/>
      <c r="C63" s="61"/>
    </row>
    <row r="64" spans="1:10" ht="22.2" customHeight="1" x14ac:dyDescent="0.3">
      <c r="A64" s="61"/>
      <c r="B64" s="61"/>
      <c r="C64" s="61"/>
    </row>
    <row r="65" spans="1:3" ht="22.2" customHeight="1" x14ac:dyDescent="0.3">
      <c r="A65" s="61"/>
      <c r="B65" s="61"/>
      <c r="C65" s="61"/>
    </row>
    <row r="66" spans="1:3" ht="22.2" customHeight="1" x14ac:dyDescent="0.3">
      <c r="A66" s="61"/>
      <c r="B66" s="61"/>
      <c r="C66" s="61"/>
    </row>
    <row r="67" spans="1:3" ht="22.2" customHeight="1" x14ac:dyDescent="0.3">
      <c r="A67" s="61"/>
      <c r="B67" s="61"/>
      <c r="C67" s="61"/>
    </row>
    <row r="68" spans="1:3" ht="22.2" customHeight="1" x14ac:dyDescent="0.3">
      <c r="A68" s="61"/>
      <c r="B68" s="61"/>
      <c r="C68" s="61"/>
    </row>
    <row r="69" spans="1:3" ht="22.2" customHeight="1" x14ac:dyDescent="0.3">
      <c r="A69" s="61"/>
      <c r="B69" s="61"/>
      <c r="C69" s="61"/>
    </row>
    <row r="70" spans="1:3" ht="22.2" customHeight="1" x14ac:dyDescent="0.3">
      <c r="A70" s="61"/>
      <c r="B70" s="61"/>
      <c r="C70" s="61"/>
    </row>
    <row r="71" spans="1:3" ht="22.2" customHeight="1" x14ac:dyDescent="0.3">
      <c r="A71" s="61"/>
      <c r="B71" s="61"/>
      <c r="C71" s="61"/>
    </row>
    <row r="72" spans="1:3" ht="22.2" customHeight="1" x14ac:dyDescent="0.3">
      <c r="A72" s="61"/>
      <c r="B72" s="61"/>
      <c r="C72" s="61"/>
    </row>
    <row r="73" spans="1:3" ht="22.2" customHeight="1" x14ac:dyDescent="0.3">
      <c r="A73" s="61"/>
      <c r="B73" s="61"/>
      <c r="C73" s="61"/>
    </row>
    <row r="74" spans="1:3" ht="22.2" customHeight="1" x14ac:dyDescent="0.3">
      <c r="A74" s="61"/>
      <c r="B74" s="61"/>
      <c r="C74" s="61"/>
    </row>
    <row r="75" spans="1:3" ht="22.2" customHeight="1" x14ac:dyDescent="0.3">
      <c r="A75" s="61"/>
      <c r="B75" s="61"/>
      <c r="C75" s="61"/>
    </row>
    <row r="76" spans="1:3" ht="22.2" customHeight="1" x14ac:dyDescent="0.3">
      <c r="A76" s="61"/>
      <c r="B76" s="61"/>
      <c r="C76" s="61"/>
    </row>
    <row r="77" spans="1:3" ht="22.2" customHeight="1" x14ac:dyDescent="0.3">
      <c r="A77" s="61"/>
      <c r="B77" s="61"/>
      <c r="C77" s="61"/>
    </row>
    <row r="78" spans="1:3" ht="22.2" customHeight="1" x14ac:dyDescent="0.3">
      <c r="A78" s="61"/>
      <c r="B78" s="61"/>
      <c r="C78" s="61"/>
    </row>
    <row r="79" spans="1:3" ht="22.2" customHeight="1" x14ac:dyDescent="0.3">
      <c r="A79" s="61"/>
      <c r="B79" s="61"/>
      <c r="C79" s="61"/>
    </row>
    <row r="80" spans="1:3" ht="22.2" customHeight="1" x14ac:dyDescent="0.3">
      <c r="A80" s="61"/>
      <c r="B80" s="61"/>
      <c r="C80" s="61"/>
    </row>
    <row r="81" spans="1:10" ht="21.6" customHeight="1" x14ac:dyDescent="0.3">
      <c r="A81" s="65"/>
    </row>
    <row r="82" spans="1:10" x14ac:dyDescent="0.3">
      <c r="A82" s="21" t="s">
        <v>22</v>
      </c>
      <c r="E82" s="100">
        <v>2200</v>
      </c>
    </row>
    <row r="84" spans="1:10" x14ac:dyDescent="0.3">
      <c r="A84" s="21" t="s">
        <v>23</v>
      </c>
    </row>
    <row r="85" spans="1:10" ht="22.2" customHeight="1" x14ac:dyDescent="0.3">
      <c r="B85" s="21" t="s">
        <v>51</v>
      </c>
      <c r="J85" s="53"/>
    </row>
    <row r="86" spans="1:10" ht="22.2" customHeight="1" x14ac:dyDescent="0.3">
      <c r="B86" s="21" t="s">
        <v>118</v>
      </c>
      <c r="J86" s="94"/>
    </row>
    <row r="87" spans="1:10" ht="22.2" customHeight="1" x14ac:dyDescent="0.3">
      <c r="B87" s="21" t="s">
        <v>52</v>
      </c>
      <c r="J87" s="31"/>
    </row>
    <row r="88" spans="1:10" ht="22.2" customHeight="1" x14ac:dyDescent="0.3">
      <c r="J88" s="31"/>
    </row>
    <row r="89" spans="1:10" ht="22.2" customHeight="1" x14ac:dyDescent="0.3">
      <c r="J89" s="31"/>
    </row>
    <row r="90" spans="1:10" ht="22.2" customHeight="1" x14ac:dyDescent="0.3">
      <c r="H90" s="162" t="s">
        <v>24</v>
      </c>
      <c r="I90" s="162"/>
      <c r="J90" s="31"/>
    </row>
    <row r="91" spans="1:10" ht="22.8" customHeight="1" x14ac:dyDescent="0.3">
      <c r="J91" s="96"/>
    </row>
    <row r="92" spans="1:10" ht="17.399999999999999" customHeight="1" x14ac:dyDescent="0.3">
      <c r="J92" s="30"/>
    </row>
    <row r="93" spans="1:10" ht="22.8" customHeight="1" x14ac:dyDescent="0.3">
      <c r="E93" s="152" t="s">
        <v>197</v>
      </c>
      <c r="F93" s="152"/>
      <c r="G93" s="152"/>
      <c r="H93" s="152"/>
      <c r="I93" s="153"/>
      <c r="J93" s="96"/>
    </row>
    <row r="94" spans="1:10" ht="22.8" customHeight="1" x14ac:dyDescent="0.3">
      <c r="E94" s="113"/>
      <c r="F94" s="113"/>
      <c r="G94" s="113"/>
      <c r="H94" s="113"/>
      <c r="I94" s="113"/>
      <c r="J94" s="124"/>
    </row>
    <row r="95" spans="1:10" ht="16.8" customHeight="1" x14ac:dyDescent="0.3">
      <c r="J95" s="30"/>
    </row>
    <row r="96" spans="1:10" ht="27.6" customHeight="1" x14ac:dyDescent="0.3">
      <c r="A96" s="154" t="s">
        <v>247</v>
      </c>
      <c r="B96" s="155"/>
      <c r="C96" s="155"/>
      <c r="D96" s="155"/>
      <c r="E96" s="155"/>
      <c r="F96" s="155"/>
      <c r="G96" s="155"/>
      <c r="J96" s="59"/>
    </row>
    <row r="97" spans="1:11" ht="8.4" hidden="1" customHeight="1" x14ac:dyDescent="0.3">
      <c r="A97" s="61"/>
      <c r="B97" s="61"/>
      <c r="C97" s="61"/>
      <c r="D97" s="61"/>
      <c r="J97" s="59"/>
    </row>
    <row r="98" spans="1:11" x14ac:dyDescent="0.3">
      <c r="A98" s="156" t="s">
        <v>180</v>
      </c>
      <c r="B98" s="156"/>
      <c r="C98" s="156"/>
      <c r="E98" s="156" t="s">
        <v>246</v>
      </c>
      <c r="F98" s="156"/>
      <c r="G98" s="156"/>
    </row>
    <row r="99" spans="1:11" ht="29.25" customHeight="1" x14ac:dyDescent="0.3">
      <c r="A99" s="22" t="s">
        <v>27</v>
      </c>
      <c r="B99" s="118">
        <f>'EXERCICE 3 2024  C '!E68</f>
        <v>1589.27</v>
      </c>
      <c r="C99" s="157" t="s">
        <v>186</v>
      </c>
      <c r="D99" s="62"/>
      <c r="E99" s="118">
        <f>E50</f>
        <v>1616.3</v>
      </c>
      <c r="F99" s="157" t="s">
        <v>186</v>
      </c>
      <c r="G99" s="120" t="s">
        <v>27</v>
      </c>
    </row>
    <row r="100" spans="1:11" ht="29.25" customHeight="1" x14ac:dyDescent="0.3">
      <c r="A100" s="22" t="s">
        <v>28</v>
      </c>
      <c r="B100" s="72">
        <f>'EXERCICE 3 2024  C '!E69</f>
        <v>314.83333333333331</v>
      </c>
      <c r="C100" s="157"/>
      <c r="D100" s="62"/>
      <c r="E100" s="72"/>
      <c r="F100" s="157"/>
      <c r="G100" s="119" t="s">
        <v>28</v>
      </c>
    </row>
    <row r="101" spans="1:11" ht="29.25" customHeight="1" x14ac:dyDescent="0.3">
      <c r="A101" s="134" t="s">
        <v>50</v>
      </c>
      <c r="B101" s="158">
        <f>2200-B99-B100</f>
        <v>295.8966666666667</v>
      </c>
      <c r="C101" s="157"/>
      <c r="D101" s="62"/>
      <c r="E101" s="158"/>
      <c r="F101" s="157"/>
      <c r="G101" s="160" t="s">
        <v>50</v>
      </c>
    </row>
    <row r="102" spans="1:11" ht="29.25" customHeight="1" x14ac:dyDescent="0.3">
      <c r="A102" s="135"/>
      <c r="B102" s="159"/>
      <c r="C102" s="157"/>
      <c r="D102" s="62"/>
      <c r="E102" s="159"/>
      <c r="F102" s="157"/>
      <c r="G102" s="161"/>
    </row>
    <row r="103" spans="1:11" ht="34.200000000000003" customHeight="1" x14ac:dyDescent="0.3">
      <c r="B103" s="25">
        <f>SUM(B99:B102)</f>
        <v>2200</v>
      </c>
      <c r="E103" s="25">
        <v>2200</v>
      </c>
    </row>
    <row r="104" spans="1:11" ht="32.4" customHeight="1" x14ac:dyDescent="0.3">
      <c r="A104" s="151" t="s">
        <v>182</v>
      </c>
      <c r="B104" s="151"/>
      <c r="C104" s="151"/>
      <c r="D104" s="151"/>
      <c r="E104" s="151"/>
      <c r="F104" s="151"/>
      <c r="G104" s="151"/>
      <c r="H104" s="151"/>
      <c r="I104" s="151"/>
      <c r="J104" s="151"/>
      <c r="K104" s="151"/>
    </row>
    <row r="105" spans="1:11" ht="21.75" customHeight="1" x14ac:dyDescent="0.3">
      <c r="A105" s="21" t="s">
        <v>30</v>
      </c>
      <c r="B105" s="21" t="s">
        <v>183</v>
      </c>
    </row>
    <row r="106" spans="1:11" ht="21.75" customHeight="1" x14ac:dyDescent="0.3">
      <c r="A106" s="21" t="s">
        <v>33</v>
      </c>
    </row>
    <row r="107" spans="1:11" ht="21.75" customHeight="1" x14ac:dyDescent="0.3">
      <c r="D107" s="122" t="s">
        <v>119</v>
      </c>
      <c r="E107" s="122" t="s">
        <v>120</v>
      </c>
      <c r="F107" s="122" t="s">
        <v>121</v>
      </c>
      <c r="G107" s="123" t="s">
        <v>195</v>
      </c>
      <c r="H107" s="123" t="s">
        <v>196</v>
      </c>
      <c r="K107" s="55"/>
    </row>
    <row r="108" spans="1:11" ht="24.6" customHeight="1" x14ac:dyDescent="0.3">
      <c r="A108" s="127" t="s">
        <v>92</v>
      </c>
      <c r="B108" s="127"/>
      <c r="C108" s="127"/>
      <c r="D108" s="25">
        <f>500</f>
        <v>500</v>
      </c>
      <c r="E108" s="25">
        <v>500</v>
      </c>
      <c r="F108" s="25">
        <v>500</v>
      </c>
      <c r="G108" s="25">
        <v>500</v>
      </c>
      <c r="H108" s="22">
        <v>500</v>
      </c>
      <c r="K108" s="55"/>
    </row>
    <row r="109" spans="1:11" ht="24.6" customHeight="1" x14ac:dyDescent="0.3">
      <c r="A109" s="127" t="s">
        <v>50</v>
      </c>
      <c r="B109" s="127"/>
      <c r="C109" s="127"/>
      <c r="D109" s="121">
        <f>-$E$101</f>
        <v>0</v>
      </c>
      <c r="E109" s="121">
        <f t="shared" ref="E109:H109" si="3">-$E$101</f>
        <v>0</v>
      </c>
      <c r="F109" s="121">
        <f t="shared" si="3"/>
        <v>0</v>
      </c>
      <c r="G109" s="121">
        <f t="shared" si="3"/>
        <v>0</v>
      </c>
      <c r="H109" s="121">
        <f t="shared" si="3"/>
        <v>0</v>
      </c>
      <c r="K109" s="55"/>
    </row>
    <row r="110" spans="1:11" ht="24.6" customHeight="1" x14ac:dyDescent="0.3">
      <c r="A110" s="127" t="s">
        <v>192</v>
      </c>
      <c r="B110" s="127"/>
      <c r="C110" s="127"/>
      <c r="D110" s="25">
        <f>D108+D109</f>
        <v>500</v>
      </c>
      <c r="E110" s="25">
        <f>E108+E109</f>
        <v>500</v>
      </c>
      <c r="F110" s="25">
        <f t="shared" ref="F110" si="4">E110</f>
        <v>500</v>
      </c>
      <c r="G110" s="25">
        <f>G108+G109</f>
        <v>500</v>
      </c>
      <c r="H110" s="25">
        <f>H108+H109</f>
        <v>500</v>
      </c>
      <c r="K110" s="55"/>
    </row>
    <row r="111" spans="1:11" ht="24.6" customHeight="1" x14ac:dyDescent="0.3">
      <c r="A111" s="127" t="s">
        <v>184</v>
      </c>
      <c r="B111" s="127"/>
      <c r="C111" s="127"/>
      <c r="D111" s="72">
        <f>$E$100</f>
        <v>0</v>
      </c>
      <c r="E111" s="72">
        <f t="shared" ref="E111:H111" si="5">$E$100</f>
        <v>0</v>
      </c>
      <c r="F111" s="72">
        <f t="shared" si="5"/>
        <v>0</v>
      </c>
      <c r="G111" s="72">
        <f t="shared" si="5"/>
        <v>0</v>
      </c>
      <c r="H111" s="72">
        <f t="shared" si="5"/>
        <v>0</v>
      </c>
      <c r="K111" s="55"/>
    </row>
    <row r="112" spans="1:11" ht="30" customHeight="1" x14ac:dyDescent="0.3">
      <c r="A112" s="127" t="s">
        <v>193</v>
      </c>
      <c r="B112" s="127"/>
      <c r="C112" s="127"/>
      <c r="D112" s="25"/>
      <c r="E112" s="25"/>
      <c r="F112" s="25"/>
      <c r="G112" s="25"/>
      <c r="H112" s="25"/>
      <c r="K112" s="55"/>
    </row>
    <row r="113" spans="1:11" ht="24.6" customHeight="1" x14ac:dyDescent="0.3">
      <c r="A113" s="127" t="s">
        <v>191</v>
      </c>
      <c r="B113" s="127"/>
      <c r="C113" s="127"/>
      <c r="D113" s="25"/>
      <c r="E113" s="25"/>
      <c r="F113" s="25"/>
      <c r="G113" s="25"/>
      <c r="H113" s="25"/>
      <c r="K113" s="55"/>
    </row>
    <row r="114" spans="1:11" ht="24.6" customHeight="1" x14ac:dyDescent="0.3">
      <c r="A114" s="127" t="s">
        <v>187</v>
      </c>
      <c r="B114" s="127"/>
      <c r="C114" s="127"/>
      <c r="D114" s="25"/>
      <c r="E114" s="25"/>
      <c r="F114" s="25"/>
      <c r="G114" s="25"/>
      <c r="H114" s="25"/>
      <c r="K114" s="55"/>
    </row>
    <row r="115" spans="1:11" ht="24.6" customHeight="1" x14ac:dyDescent="0.3">
      <c r="A115" s="127" t="s">
        <v>87</v>
      </c>
      <c r="B115" s="127"/>
      <c r="C115" s="127"/>
      <c r="D115" s="25"/>
      <c r="E115" s="25"/>
      <c r="F115" s="25"/>
      <c r="G115" s="25"/>
      <c r="H115" s="25"/>
      <c r="K115" s="55"/>
    </row>
    <row r="116" spans="1:11" ht="24.6" customHeight="1" x14ac:dyDescent="0.3">
      <c r="A116" s="148" t="s">
        <v>194</v>
      </c>
      <c r="B116" s="149"/>
      <c r="C116" s="150"/>
      <c r="D116" s="25">
        <f>D114</f>
        <v>0</v>
      </c>
      <c r="E116" s="25">
        <f>E114</f>
        <v>0</v>
      </c>
      <c r="F116" s="25">
        <f>F114</f>
        <v>0</v>
      </c>
      <c r="G116" s="25">
        <f>G114</f>
        <v>0</v>
      </c>
      <c r="H116" s="25">
        <f>H115</f>
        <v>0</v>
      </c>
      <c r="K116" s="55"/>
    </row>
    <row r="117" spans="1:11" ht="24.6" customHeight="1" x14ac:dyDescent="0.3">
      <c r="A117" s="127" t="s">
        <v>188</v>
      </c>
      <c r="B117" s="127"/>
      <c r="C117" s="127"/>
      <c r="D117" s="25">
        <f>D115-D114</f>
        <v>0</v>
      </c>
      <c r="E117" s="25">
        <f>E115-E116</f>
        <v>0</v>
      </c>
      <c r="F117" s="25">
        <f>F115-F116</f>
        <v>0</v>
      </c>
      <c r="G117" s="25">
        <f>G115-G116</f>
        <v>0</v>
      </c>
      <c r="H117" s="42">
        <v>0</v>
      </c>
      <c r="K117" s="55"/>
    </row>
    <row r="118" spans="1:11" ht="24.6" customHeight="1" x14ac:dyDescent="0.3">
      <c r="A118" s="127" t="s">
        <v>190</v>
      </c>
      <c r="B118" s="127"/>
      <c r="C118" s="127"/>
      <c r="D118" s="25"/>
      <c r="E118" s="25"/>
      <c r="F118" s="25">
        <f>F114-F116</f>
        <v>0</v>
      </c>
      <c r="G118" s="25"/>
      <c r="H118" s="25">
        <f>H114-H116</f>
        <v>0</v>
      </c>
      <c r="K118" s="55"/>
    </row>
    <row r="119" spans="1:11" ht="24.6" customHeight="1" x14ac:dyDescent="0.3">
      <c r="A119" s="127" t="s">
        <v>189</v>
      </c>
      <c r="B119" s="127"/>
      <c r="C119" s="127"/>
      <c r="D119" s="108"/>
      <c r="E119" s="108"/>
      <c r="F119" s="108"/>
      <c r="G119" s="25"/>
      <c r="H119" s="25"/>
      <c r="K119" s="55"/>
    </row>
    <row r="120" spans="1:11" ht="21.75" customHeight="1" x14ac:dyDescent="0.3">
      <c r="K120" s="55"/>
    </row>
    <row r="122" spans="1:11" s="103" customFormat="1" hidden="1" x14ac:dyDescent="0.3">
      <c r="A122" s="103" t="s">
        <v>125</v>
      </c>
    </row>
    <row r="123" spans="1:11" s="103" customFormat="1" hidden="1" x14ac:dyDescent="0.3"/>
    <row r="124" spans="1:11" s="103" customFormat="1" hidden="1" x14ac:dyDescent="0.3">
      <c r="B124" s="103" t="s">
        <v>127</v>
      </c>
      <c r="F124" s="102"/>
    </row>
    <row r="125" spans="1:11" s="103" customFormat="1" hidden="1" x14ac:dyDescent="0.3">
      <c r="B125" s="103" t="s">
        <v>123</v>
      </c>
    </row>
    <row r="126" spans="1:11" s="103" customFormat="1" hidden="1" x14ac:dyDescent="0.3">
      <c r="B126" s="103" t="s">
        <v>124</v>
      </c>
    </row>
    <row r="127" spans="1:11" s="103" customFormat="1" hidden="1" x14ac:dyDescent="0.3"/>
    <row r="128" spans="1:11" s="103" customFormat="1" hidden="1" x14ac:dyDescent="0.3">
      <c r="B128" s="103" t="s">
        <v>11</v>
      </c>
      <c r="C128" s="103">
        <v>2000</v>
      </c>
    </row>
    <row r="129" spans="1:7" s="103" customFormat="1" hidden="1" x14ac:dyDescent="0.3">
      <c r="B129" s="103" t="s">
        <v>93</v>
      </c>
      <c r="C129" s="103">
        <v>458.96</v>
      </c>
    </row>
    <row r="130" spans="1:7" s="103" customFormat="1" hidden="1" x14ac:dyDescent="0.3">
      <c r="B130" s="103" t="s">
        <v>27</v>
      </c>
      <c r="C130" s="103">
        <v>607.75</v>
      </c>
    </row>
    <row r="131" spans="1:7" s="103" customFormat="1" hidden="1" x14ac:dyDescent="0.3"/>
    <row r="132" spans="1:7" s="103" customFormat="1" hidden="1" x14ac:dyDescent="0.3"/>
    <row r="133" spans="1:7" s="103" customFormat="1" hidden="1" x14ac:dyDescent="0.3">
      <c r="A133" s="103" t="s">
        <v>126</v>
      </c>
    </row>
    <row r="134" spans="1:7" s="103" customFormat="1" hidden="1" x14ac:dyDescent="0.3"/>
    <row r="135" spans="1:7" s="103" customFormat="1" hidden="1" x14ac:dyDescent="0.3">
      <c r="B135" s="103">
        <v>2000</v>
      </c>
    </row>
    <row r="136" spans="1:7" s="103" customFormat="1" hidden="1" x14ac:dyDescent="0.3">
      <c r="B136" s="103">
        <f>-C129</f>
        <v>-458.96</v>
      </c>
    </row>
    <row r="137" spans="1:7" s="103" customFormat="1" hidden="1" x14ac:dyDescent="0.3">
      <c r="B137" s="103">
        <f>-C130</f>
        <v>-607.75</v>
      </c>
    </row>
    <row r="138" spans="1:7" s="103" customFormat="1" hidden="1" x14ac:dyDescent="0.3">
      <c r="B138" s="104">
        <f>SUM(B135:B137)</f>
        <v>933.29</v>
      </c>
    </row>
    <row r="139" spans="1:7" s="103" customFormat="1" hidden="1" x14ac:dyDescent="0.3"/>
    <row r="140" spans="1:7" s="103" customFormat="1" hidden="1" x14ac:dyDescent="0.3">
      <c r="C140" s="103" t="s">
        <v>130</v>
      </c>
    </row>
    <row r="141" spans="1:7" s="103" customFormat="1" hidden="1" x14ac:dyDescent="0.3"/>
    <row r="142" spans="1:7" s="103" customFormat="1" hidden="1" x14ac:dyDescent="0.3">
      <c r="D142" s="103" t="s">
        <v>128</v>
      </c>
      <c r="G142" s="103">
        <f>B138</f>
        <v>933.29</v>
      </c>
    </row>
    <row r="143" spans="1:7" s="103" customFormat="1" hidden="1" x14ac:dyDescent="0.3">
      <c r="D143" s="103" t="s">
        <v>129</v>
      </c>
      <c r="G143" s="103">
        <f>1000-G142</f>
        <v>66.710000000000036</v>
      </c>
    </row>
    <row r="144" spans="1:7" s="103" customFormat="1" hidden="1" x14ac:dyDescent="0.3">
      <c r="G144" s="103">
        <f>SUM(G142:G143)</f>
        <v>1000</v>
      </c>
    </row>
    <row r="145" spans="1:10" s="103" customFormat="1" hidden="1" x14ac:dyDescent="0.3"/>
    <row r="146" spans="1:10" hidden="1" x14ac:dyDescent="0.3">
      <c r="A146" s="101"/>
      <c r="B146" s="101"/>
      <c r="C146" s="101" t="s">
        <v>131</v>
      </c>
      <c r="D146" s="101"/>
      <c r="E146" s="101"/>
      <c r="F146" s="101"/>
      <c r="G146" s="101"/>
      <c r="H146" s="101"/>
      <c r="I146" s="101"/>
      <c r="J146" s="101"/>
    </row>
    <row r="147" spans="1:10" hidden="1" x14ac:dyDescent="0.3">
      <c r="A147" s="101"/>
      <c r="B147" s="101"/>
      <c r="C147" s="101"/>
      <c r="D147" s="101"/>
      <c r="E147" s="101"/>
      <c r="F147" s="101"/>
      <c r="G147" s="101"/>
      <c r="H147" s="101"/>
      <c r="I147" s="101"/>
      <c r="J147" s="101"/>
    </row>
    <row r="148" spans="1:10" hidden="1" x14ac:dyDescent="0.3">
      <c r="A148" s="101"/>
      <c r="B148" s="101"/>
      <c r="C148" s="101"/>
      <c r="D148" s="101"/>
      <c r="E148" s="101"/>
      <c r="F148" s="101"/>
      <c r="G148" s="101">
        <f>-B136-G143</f>
        <v>392.24999999999994</v>
      </c>
      <c r="H148" s="101"/>
      <c r="I148" s="101"/>
      <c r="J148" s="101"/>
    </row>
    <row r="149" spans="1:10" hidden="1" x14ac:dyDescent="0.3">
      <c r="A149" s="101"/>
      <c r="B149" s="101"/>
      <c r="C149" s="101"/>
      <c r="D149" s="101" t="s">
        <v>132</v>
      </c>
      <c r="E149" s="101"/>
      <c r="F149" s="101"/>
      <c r="G149" s="101">
        <f>1000-G148</f>
        <v>607.75</v>
      </c>
      <c r="H149" s="101"/>
      <c r="I149" s="101"/>
      <c r="J149" s="101"/>
    </row>
    <row r="150" spans="1:10" hidden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</row>
    <row r="151" spans="1:10" hidden="1" x14ac:dyDescent="0.3">
      <c r="A151" s="101"/>
      <c r="B151" s="101"/>
      <c r="C151" s="101" t="s">
        <v>133</v>
      </c>
      <c r="D151" s="101"/>
      <c r="E151" s="101"/>
      <c r="F151" s="101"/>
      <c r="G151" s="101"/>
      <c r="H151" s="101"/>
      <c r="I151" s="101"/>
      <c r="J151" s="101"/>
    </row>
    <row r="153" spans="1:10" hidden="1" x14ac:dyDescent="0.3">
      <c r="E153" s="21">
        <v>2000</v>
      </c>
    </row>
    <row r="154" spans="1:10" hidden="1" x14ac:dyDescent="0.3">
      <c r="E154" s="21">
        <f>-1000</f>
        <v>-1000</v>
      </c>
    </row>
    <row r="155" spans="1:10" hidden="1" x14ac:dyDescent="0.3">
      <c r="E155" s="21">
        <f>-G148</f>
        <v>-392.24999999999994</v>
      </c>
    </row>
    <row r="156" spans="1:10" hidden="1" x14ac:dyDescent="0.3">
      <c r="E156" s="42">
        <f>SUM(E153:E155)</f>
        <v>607.75</v>
      </c>
      <c r="G156" s="21" t="s">
        <v>134</v>
      </c>
    </row>
    <row r="157" spans="1:10" hidden="1" x14ac:dyDescent="0.3"/>
  </sheetData>
  <mergeCells count="42">
    <mergeCell ref="B33:K33"/>
    <mergeCell ref="B16:K16"/>
    <mergeCell ref="C18:E18"/>
    <mergeCell ref="A19:B19"/>
    <mergeCell ref="C19:D19"/>
    <mergeCell ref="A27:K31"/>
    <mergeCell ref="H90:I90"/>
    <mergeCell ref="C42:G42"/>
    <mergeCell ref="E44:F44"/>
    <mergeCell ref="I46:J46"/>
    <mergeCell ref="A47:B47"/>
    <mergeCell ref="I47:J47"/>
    <mergeCell ref="A48:B48"/>
    <mergeCell ref="I48:J48"/>
    <mergeCell ref="A49:B49"/>
    <mergeCell ref="I49:J49"/>
    <mergeCell ref="A50:B50"/>
    <mergeCell ref="I50:J50"/>
    <mergeCell ref="A51:B51"/>
    <mergeCell ref="A112:C112"/>
    <mergeCell ref="E93:I93"/>
    <mergeCell ref="A96:G96"/>
    <mergeCell ref="A98:C98"/>
    <mergeCell ref="E98:G98"/>
    <mergeCell ref="C99:C102"/>
    <mergeCell ref="F99:F102"/>
    <mergeCell ref="A101:A102"/>
    <mergeCell ref="B101:B102"/>
    <mergeCell ref="E101:E102"/>
    <mergeCell ref="G101:G102"/>
    <mergeCell ref="A104:K104"/>
    <mergeCell ref="A108:C108"/>
    <mergeCell ref="A109:C109"/>
    <mergeCell ref="A110:C110"/>
    <mergeCell ref="A111:C111"/>
    <mergeCell ref="A119:C119"/>
    <mergeCell ref="A113:C113"/>
    <mergeCell ref="A114:C114"/>
    <mergeCell ref="A115:C115"/>
    <mergeCell ref="A116:C116"/>
    <mergeCell ref="A117:C117"/>
    <mergeCell ref="A118:C118"/>
  </mergeCell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89572-93FA-4DDC-93F6-65C0E1CA5F76}">
  <dimension ref="A2:K157"/>
  <sheetViews>
    <sheetView workbookViewId="0">
      <selection activeCell="E48" sqref="E48"/>
    </sheetView>
  </sheetViews>
  <sheetFormatPr baseColWidth="10" defaultColWidth="11.44140625" defaultRowHeight="15.6" x14ac:dyDescent="0.3"/>
  <cols>
    <col min="1" max="1" width="14" style="21" customWidth="1"/>
    <col min="2" max="3" width="11.44140625" style="21"/>
    <col min="4" max="4" width="11.33203125" style="21" customWidth="1"/>
    <col min="5" max="5" width="17.21875" style="21" customWidth="1"/>
    <col min="6" max="6" width="13.77734375" style="21" customWidth="1"/>
    <col min="7" max="7" width="13.44140625" style="21" customWidth="1"/>
    <col min="8" max="8" width="12.21875" style="21" bestFit="1" customWidth="1"/>
    <col min="9" max="9" width="16.6640625" style="21" customWidth="1"/>
    <col min="10" max="10" width="18.44140625" style="21" customWidth="1"/>
    <col min="11" max="11" width="16.6640625" style="21" customWidth="1"/>
    <col min="12" max="16384" width="11.44140625" style="21"/>
  </cols>
  <sheetData>
    <row r="2" spans="2:11" x14ac:dyDescent="0.3">
      <c r="B2" s="21" t="s">
        <v>157</v>
      </c>
    </row>
    <row r="4" spans="2:11" x14ac:dyDescent="0.3">
      <c r="B4" s="21" t="s">
        <v>60</v>
      </c>
    </row>
    <row r="6" spans="2:11" x14ac:dyDescent="0.3">
      <c r="E6" s="21" t="s">
        <v>35</v>
      </c>
    </row>
    <row r="7" spans="2:11" x14ac:dyDescent="0.3">
      <c r="E7" s="21" t="s">
        <v>158</v>
      </c>
    </row>
    <row r="8" spans="2:11" x14ac:dyDescent="0.3">
      <c r="E8" s="21" t="s">
        <v>41</v>
      </c>
    </row>
    <row r="10" spans="2:11" x14ac:dyDescent="0.3">
      <c r="B10" s="21" t="s">
        <v>86</v>
      </c>
    </row>
    <row r="11" spans="2:11" x14ac:dyDescent="0.3">
      <c r="J11" s="30"/>
      <c r="K11" s="55"/>
    </row>
    <row r="12" spans="2:11" x14ac:dyDescent="0.3">
      <c r="B12" s="21" t="s">
        <v>113</v>
      </c>
      <c r="F12" s="30">
        <f>'BAREME 2024  et 2025 C '!E8</f>
        <v>140.83000000000001</v>
      </c>
      <c r="G12" s="21" t="s">
        <v>114</v>
      </c>
      <c r="J12" s="30"/>
    </row>
    <row r="14" spans="2:11" x14ac:dyDescent="0.3">
      <c r="B14" s="44" t="s">
        <v>19</v>
      </c>
      <c r="C14" s="44"/>
      <c r="D14" s="44"/>
    </row>
    <row r="16" spans="2:11" ht="27.6" customHeight="1" x14ac:dyDescent="0.3">
      <c r="B16" s="165" t="s">
        <v>242</v>
      </c>
      <c r="C16" s="165"/>
      <c r="D16" s="165"/>
      <c r="E16" s="165"/>
      <c r="F16" s="165"/>
      <c r="G16" s="165"/>
      <c r="H16" s="165"/>
      <c r="I16" s="165"/>
      <c r="J16" s="165"/>
      <c r="K16" s="165"/>
    </row>
    <row r="17" spans="1:11" x14ac:dyDescent="0.3"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30" customHeight="1" x14ac:dyDescent="0.3">
      <c r="B18" s="30"/>
      <c r="C18" s="127" t="s">
        <v>178</v>
      </c>
      <c r="D18" s="127"/>
      <c r="E18" s="127"/>
      <c r="F18" s="30"/>
      <c r="G18" s="30"/>
      <c r="H18" s="30"/>
      <c r="I18" s="30"/>
      <c r="J18" s="30"/>
    </row>
    <row r="19" spans="1:11" ht="60.75" customHeight="1" x14ac:dyDescent="0.3">
      <c r="A19" s="127" t="s">
        <v>61</v>
      </c>
      <c r="B19" s="127"/>
      <c r="C19" s="148" t="s">
        <v>115</v>
      </c>
      <c r="D19" s="150"/>
      <c r="E19" s="22" t="s">
        <v>243</v>
      </c>
      <c r="F19" s="60" t="s">
        <v>2</v>
      </c>
      <c r="G19" s="60" t="s">
        <v>117</v>
      </c>
      <c r="H19" s="61"/>
      <c r="I19" s="61"/>
      <c r="J19" s="61"/>
      <c r="K19" s="67"/>
    </row>
    <row r="20" spans="1:11" ht="33" customHeight="1" x14ac:dyDescent="0.3">
      <c r="A20" s="22"/>
      <c r="B20" s="69">
        <f>+'C BAREME 2024 2025 PERS SEULE  '!E49</f>
        <v>370</v>
      </c>
      <c r="D20" s="88">
        <f>B20+E20</f>
        <v>943.33</v>
      </c>
      <c r="E20" s="69">
        <f>ROUND(4*1720/12,2)</f>
        <v>573.33000000000004</v>
      </c>
      <c r="F20" s="28">
        <f>1/20</f>
        <v>0.05</v>
      </c>
      <c r="G20" s="25">
        <f>ROUND(D20*F20,2)</f>
        <v>47.17</v>
      </c>
      <c r="H20" s="70"/>
      <c r="I20" s="62"/>
      <c r="J20" s="62"/>
    </row>
    <row r="21" spans="1:11" ht="33" customHeight="1" x14ac:dyDescent="0.3">
      <c r="A21" s="63">
        <f>B20</f>
        <v>370</v>
      </c>
      <c r="B21" s="69">
        <f>+'C BAREME 2024 2025 PERS SEULE  '!E50</f>
        <v>721.67</v>
      </c>
      <c r="C21" s="88">
        <f>D20</f>
        <v>943.33</v>
      </c>
      <c r="D21" s="68">
        <f>B21+E21</f>
        <v>1295</v>
      </c>
      <c r="E21" s="69">
        <f t="shared" ref="E21:E25" si="0">ROUND(4*1720/12,2)</f>
        <v>573.33000000000004</v>
      </c>
      <c r="F21" s="28">
        <v>0.1</v>
      </c>
      <c r="G21" s="25">
        <f>ROUND((D21-C21)*F21+G20,2)</f>
        <v>82.34</v>
      </c>
      <c r="H21" s="70"/>
      <c r="I21" s="62"/>
      <c r="J21" s="62"/>
    </row>
    <row r="22" spans="1:11" ht="33" customHeight="1" x14ac:dyDescent="0.3">
      <c r="A22" s="63">
        <f t="shared" ref="A22:A25" si="1">B21</f>
        <v>721.67</v>
      </c>
      <c r="B22" s="69">
        <f>+'C BAREME 2024 2025 PERS SEULE  '!E51</f>
        <v>1074.17</v>
      </c>
      <c r="C22" s="88">
        <f t="shared" ref="C22:C25" si="2">D21</f>
        <v>1295</v>
      </c>
      <c r="D22" s="68">
        <f t="shared" ref="D22:D25" si="3">B22+E22</f>
        <v>1647.5</v>
      </c>
      <c r="E22" s="69">
        <f t="shared" si="0"/>
        <v>573.33000000000004</v>
      </c>
      <c r="F22" s="28">
        <v>0.2</v>
      </c>
      <c r="G22" s="25">
        <f t="shared" ref="G22:G25" si="4">ROUND((D22-C22)*F22+G21,2)</f>
        <v>152.84</v>
      </c>
      <c r="H22" s="70"/>
      <c r="I22" s="62"/>
      <c r="J22" s="62"/>
    </row>
    <row r="23" spans="1:11" ht="33" customHeight="1" x14ac:dyDescent="0.3">
      <c r="A23" s="63">
        <f t="shared" si="1"/>
        <v>1074.17</v>
      </c>
      <c r="B23" s="69">
        <f>+'C BAREME 2024 2025 PERS SEULE  '!E52</f>
        <v>1424.17</v>
      </c>
      <c r="C23" s="88">
        <f t="shared" si="2"/>
        <v>1647.5</v>
      </c>
      <c r="D23" s="68">
        <f t="shared" si="3"/>
        <v>1997.5</v>
      </c>
      <c r="E23" s="69">
        <f t="shared" si="0"/>
        <v>573.33000000000004</v>
      </c>
      <c r="F23" s="28">
        <v>0.25</v>
      </c>
      <c r="G23" s="25">
        <f t="shared" si="4"/>
        <v>240.34</v>
      </c>
      <c r="H23" s="70"/>
      <c r="I23" s="62"/>
      <c r="J23" s="62"/>
    </row>
    <row r="24" spans="1:11" ht="33" customHeight="1" x14ac:dyDescent="0.3">
      <c r="A24" s="63">
        <f t="shared" si="1"/>
        <v>1424.17</v>
      </c>
      <c r="B24" s="69">
        <f>+'C BAREME 2024 2025 PERS SEULE  '!E53</f>
        <v>1775</v>
      </c>
      <c r="C24" s="88">
        <f t="shared" si="2"/>
        <v>1997.5</v>
      </c>
      <c r="D24" s="68">
        <f t="shared" si="3"/>
        <v>2348.33</v>
      </c>
      <c r="E24" s="69">
        <f t="shared" si="0"/>
        <v>573.33000000000004</v>
      </c>
      <c r="F24" s="28">
        <v>0.33333333333333331</v>
      </c>
      <c r="G24" s="25">
        <f t="shared" si="4"/>
        <v>357.28</v>
      </c>
      <c r="H24" s="70"/>
      <c r="I24" s="62"/>
      <c r="J24" s="62"/>
    </row>
    <row r="25" spans="1:11" ht="33" customHeight="1" x14ac:dyDescent="0.3">
      <c r="A25" s="63">
        <f t="shared" si="1"/>
        <v>1775</v>
      </c>
      <c r="B25" s="69">
        <f>+'C BAREME 2024 2025 PERS SEULE  '!E54</f>
        <v>2133.33</v>
      </c>
      <c r="C25" s="88">
        <f t="shared" si="2"/>
        <v>2348.33</v>
      </c>
      <c r="D25" s="68">
        <f t="shared" si="3"/>
        <v>2706.66</v>
      </c>
      <c r="E25" s="69">
        <f t="shared" si="0"/>
        <v>573.33000000000004</v>
      </c>
      <c r="F25" s="28">
        <v>0.66666666666666663</v>
      </c>
      <c r="G25" s="25">
        <f t="shared" si="4"/>
        <v>596.16999999999996</v>
      </c>
      <c r="H25" s="70"/>
      <c r="I25" s="62"/>
      <c r="J25" s="62"/>
    </row>
    <row r="27" spans="1:11" x14ac:dyDescent="0.3">
      <c r="A27" s="166" t="s">
        <v>106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</row>
    <row r="28" spans="1:11" ht="9.75" customHeight="1" x14ac:dyDescent="0.3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</row>
    <row r="29" spans="1:11" ht="31.5" hidden="1" customHeight="1" x14ac:dyDescent="0.3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ht="31.5" hidden="1" customHeight="1" x14ac:dyDescent="0.3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</row>
    <row r="31" spans="1:11" x14ac:dyDescent="0.3">
      <c r="A31" s="166"/>
      <c r="B31" s="166"/>
      <c r="C31" s="166"/>
      <c r="D31" s="166"/>
      <c r="E31" s="166"/>
      <c r="F31" s="166"/>
      <c r="G31" s="166"/>
      <c r="H31" s="166"/>
      <c r="I31" s="166"/>
      <c r="J31" s="166"/>
      <c r="K31" s="166"/>
    </row>
    <row r="32" spans="1:11" ht="15" hidden="1" customHeight="1" x14ac:dyDescent="0.3">
      <c r="A32" s="65" t="s">
        <v>105</v>
      </c>
    </row>
    <row r="33" spans="1:11" hidden="1" x14ac:dyDescent="0.3">
      <c r="B33" s="167" t="s">
        <v>46</v>
      </c>
      <c r="C33" s="167"/>
      <c r="D33" s="167"/>
      <c r="E33" s="167"/>
      <c r="F33" s="167"/>
      <c r="G33" s="167"/>
      <c r="H33" s="167"/>
      <c r="I33" s="167"/>
      <c r="J33" s="167"/>
      <c r="K33" s="167"/>
    </row>
    <row r="34" spans="1:11" hidden="1" x14ac:dyDescent="0.3">
      <c r="B34" s="30"/>
      <c r="C34" s="30"/>
      <c r="D34" s="30"/>
      <c r="E34" s="30"/>
      <c r="F34" s="30"/>
      <c r="G34" s="30"/>
      <c r="H34" s="30"/>
      <c r="I34" s="30"/>
      <c r="J34" s="30"/>
    </row>
    <row r="35" spans="1:11" ht="60.75" hidden="1" customHeight="1" x14ac:dyDescent="0.3">
      <c r="E35" s="22" t="s">
        <v>13</v>
      </c>
      <c r="F35" s="60" t="s">
        <v>53</v>
      </c>
      <c r="G35" s="60" t="s">
        <v>2</v>
      </c>
      <c r="H35" s="60" t="s">
        <v>47</v>
      </c>
      <c r="I35" s="22" t="s">
        <v>48</v>
      </c>
      <c r="J35" s="22" t="s">
        <v>49</v>
      </c>
      <c r="K35" s="22" t="s">
        <v>54</v>
      </c>
    </row>
    <row r="36" spans="1:11" hidden="1" x14ac:dyDescent="0.3">
      <c r="B36" s="31">
        <v>313.33</v>
      </c>
      <c r="C36" s="31"/>
      <c r="D36" s="31"/>
      <c r="E36" s="31"/>
      <c r="F36" s="32"/>
      <c r="G36" s="64">
        <f>1/20</f>
        <v>0.05</v>
      </c>
      <c r="H36" s="31">
        <f>ROUND(B36*G36,2)</f>
        <v>15.67</v>
      </c>
      <c r="I36" s="31">
        <f>ROUND(H36,2)</f>
        <v>15.67</v>
      </c>
      <c r="J36" s="31"/>
      <c r="K36" s="32"/>
    </row>
    <row r="37" spans="1:11" hidden="1" x14ac:dyDescent="0.3">
      <c r="B37" s="31">
        <v>611.66999999999996</v>
      </c>
      <c r="C37" s="31"/>
      <c r="D37" s="31"/>
      <c r="E37" s="31"/>
      <c r="F37" s="32"/>
      <c r="G37" s="64">
        <v>0.1</v>
      </c>
      <c r="H37" s="31">
        <f>ROUND((B37-B36)*G37,2)</f>
        <v>29.83</v>
      </c>
      <c r="I37" s="31">
        <f>I36+H37</f>
        <v>45.5</v>
      </c>
      <c r="J37" s="31"/>
      <c r="K37" s="32"/>
    </row>
    <row r="38" spans="1:11" hidden="1" x14ac:dyDescent="0.3">
      <c r="B38" s="31">
        <v>911.67</v>
      </c>
      <c r="C38" s="31"/>
      <c r="D38" s="31"/>
      <c r="E38" s="31"/>
      <c r="F38" s="32"/>
      <c r="G38" s="64">
        <v>0.2</v>
      </c>
      <c r="H38" s="31">
        <f>ROUND((B38-B37)*G38,2)</f>
        <v>60</v>
      </c>
      <c r="I38" s="31">
        <f t="shared" ref="I38:I41" si="5">I37+H38</f>
        <v>105.5</v>
      </c>
      <c r="J38" s="31"/>
      <c r="K38" s="32"/>
    </row>
    <row r="39" spans="1:11" hidden="1" x14ac:dyDescent="0.3">
      <c r="B39" s="31">
        <v>1210.83</v>
      </c>
      <c r="C39" s="31"/>
      <c r="D39" s="31"/>
      <c r="E39" s="31"/>
      <c r="F39" s="32"/>
      <c r="G39" s="64">
        <v>0.25</v>
      </c>
      <c r="H39" s="31">
        <f>ROUND((B39-B38)*G39,2)</f>
        <v>74.790000000000006</v>
      </c>
      <c r="I39" s="31">
        <f t="shared" si="5"/>
        <v>180.29000000000002</v>
      </c>
      <c r="J39" s="31"/>
      <c r="K39" s="32"/>
    </row>
    <row r="40" spans="1:11" hidden="1" x14ac:dyDescent="0.3">
      <c r="B40" s="31">
        <v>1509.17</v>
      </c>
      <c r="C40" s="31"/>
      <c r="D40" s="31"/>
      <c r="E40" s="31"/>
      <c r="F40" s="32"/>
      <c r="G40" s="64">
        <v>0.33333333333333331</v>
      </c>
      <c r="H40" s="31">
        <f>ROUND((B40-B39)*G40,2)</f>
        <v>99.45</v>
      </c>
      <c r="I40" s="31">
        <f t="shared" si="5"/>
        <v>279.74</v>
      </c>
      <c r="J40" s="31"/>
      <c r="K40" s="32"/>
    </row>
    <row r="41" spans="1:11" hidden="1" x14ac:dyDescent="0.3">
      <c r="B41" s="31">
        <v>1813.33</v>
      </c>
      <c r="C41" s="31"/>
      <c r="D41" s="31"/>
      <c r="E41" s="31"/>
      <c r="F41" s="32"/>
      <c r="G41" s="64">
        <v>0.66666666666666663</v>
      </c>
      <c r="H41" s="31">
        <f>ROUND((B41-B40)*G41,2)</f>
        <v>202.77</v>
      </c>
      <c r="I41" s="31">
        <f t="shared" si="5"/>
        <v>482.51</v>
      </c>
      <c r="J41" s="31"/>
      <c r="K41" s="32"/>
    </row>
    <row r="42" spans="1:11" ht="28.8" customHeight="1" x14ac:dyDescent="0.3">
      <c r="B42" s="62"/>
      <c r="C42" s="163" t="s">
        <v>244</v>
      </c>
      <c r="D42" s="163"/>
      <c r="E42" s="163"/>
      <c r="F42" s="163"/>
      <c r="G42" s="163"/>
      <c r="H42" s="62"/>
    </row>
    <row r="43" spans="1:11" ht="28.8" customHeight="1" x14ac:dyDescent="0.3">
      <c r="B43" s="70"/>
      <c r="C43" s="111"/>
      <c r="D43" s="111"/>
      <c r="E43" s="111"/>
      <c r="F43" s="111"/>
      <c r="G43" s="111"/>
      <c r="H43" s="70"/>
    </row>
    <row r="44" spans="1:11" x14ac:dyDescent="0.3">
      <c r="B44" s="62"/>
      <c r="C44" s="62"/>
      <c r="D44" s="62"/>
      <c r="E44" s="164" t="s">
        <v>245</v>
      </c>
      <c r="F44" s="164"/>
      <c r="G44" s="90"/>
      <c r="H44" s="62"/>
      <c r="I44" s="62"/>
      <c r="J44" s="62"/>
      <c r="K44" s="70"/>
    </row>
    <row r="45" spans="1:11" x14ac:dyDescent="0.3">
      <c r="A45" s="21" t="s">
        <v>159</v>
      </c>
      <c r="B45" s="62"/>
      <c r="F45" s="62">
        <f>645.72</f>
        <v>645.72</v>
      </c>
      <c r="G45" s="90"/>
      <c r="H45" s="62"/>
      <c r="J45" s="62"/>
    </row>
    <row r="46" spans="1:11" x14ac:dyDescent="0.3">
      <c r="A46" s="21" t="s">
        <v>160</v>
      </c>
      <c r="B46" s="62"/>
      <c r="C46" s="62"/>
      <c r="D46" s="62"/>
      <c r="F46" s="70"/>
      <c r="G46" s="62"/>
      <c r="H46" s="62"/>
      <c r="I46" s="126"/>
      <c r="J46" s="126"/>
      <c r="K46" s="70"/>
    </row>
    <row r="47" spans="1:11" ht="22.2" customHeight="1" x14ac:dyDescent="0.3">
      <c r="A47" s="125" t="s">
        <v>107</v>
      </c>
      <c r="B47" s="125"/>
      <c r="C47" s="61"/>
      <c r="E47" s="21">
        <v>969.78</v>
      </c>
      <c r="G47" s="43"/>
      <c r="I47" s="125"/>
      <c r="J47" s="125"/>
    </row>
    <row r="48" spans="1:11" ht="22.2" customHeight="1" x14ac:dyDescent="0.3">
      <c r="A48" s="125" t="s">
        <v>108</v>
      </c>
      <c r="B48" s="125"/>
      <c r="C48" s="61"/>
      <c r="E48" s="21">
        <v>1163.73</v>
      </c>
      <c r="F48" s="21">
        <v>969.78</v>
      </c>
      <c r="I48" s="125"/>
      <c r="J48" s="125"/>
    </row>
    <row r="49" spans="1:10" ht="22.2" customHeight="1" x14ac:dyDescent="0.3">
      <c r="A49" s="125" t="s">
        <v>109</v>
      </c>
      <c r="B49" s="125"/>
      <c r="C49" s="61"/>
      <c r="E49" s="21">
        <v>1357.69</v>
      </c>
      <c r="F49" s="21">
        <v>1163.73</v>
      </c>
      <c r="I49" s="125"/>
      <c r="J49" s="125"/>
    </row>
    <row r="50" spans="1:10" ht="22.2" customHeight="1" x14ac:dyDescent="0.3">
      <c r="A50" s="125" t="s">
        <v>111</v>
      </c>
      <c r="B50" s="125"/>
      <c r="C50" s="61"/>
      <c r="E50" s="21">
        <v>1616.3</v>
      </c>
      <c r="I50" s="125"/>
      <c r="J50" s="125"/>
    </row>
    <row r="51" spans="1:10" ht="22.2" customHeight="1" x14ac:dyDescent="0.3">
      <c r="A51" s="125" t="s">
        <v>110</v>
      </c>
      <c r="B51" s="125"/>
      <c r="C51" s="61"/>
      <c r="E51" s="21">
        <v>258.61</v>
      </c>
      <c r="F51" s="21">
        <v>258.61</v>
      </c>
    </row>
    <row r="52" spans="1:10" ht="22.2" customHeight="1" x14ac:dyDescent="0.3">
      <c r="A52" s="61"/>
      <c r="B52" s="61"/>
      <c r="C52" s="61"/>
    </row>
    <row r="53" spans="1:10" ht="22.2" customHeight="1" x14ac:dyDescent="0.3">
      <c r="A53" s="61"/>
      <c r="B53" s="61"/>
      <c r="C53" s="61"/>
    </row>
    <row r="54" spans="1:10" ht="22.2" customHeight="1" x14ac:dyDescent="0.3">
      <c r="A54" s="61"/>
      <c r="B54" s="61"/>
      <c r="C54" s="61"/>
    </row>
    <row r="55" spans="1:10" ht="22.2" customHeight="1" x14ac:dyDescent="0.3">
      <c r="A55" s="61"/>
      <c r="B55" s="61"/>
      <c r="C55" s="61"/>
    </row>
    <row r="56" spans="1:10" ht="22.2" customHeight="1" x14ac:dyDescent="0.3">
      <c r="A56" s="61"/>
      <c r="B56" s="61"/>
      <c r="C56" s="61"/>
    </row>
    <row r="57" spans="1:10" ht="22.2" customHeight="1" x14ac:dyDescent="0.3">
      <c r="A57" s="61"/>
      <c r="B57" s="61"/>
      <c r="C57" s="61"/>
    </row>
    <row r="58" spans="1:10" ht="22.2" customHeight="1" x14ac:dyDescent="0.3">
      <c r="A58" s="61"/>
      <c r="B58" s="61"/>
      <c r="C58" s="61"/>
    </row>
    <row r="59" spans="1:10" ht="22.2" customHeight="1" x14ac:dyDescent="0.3">
      <c r="A59" s="61"/>
      <c r="B59" s="61"/>
      <c r="C59" s="61"/>
    </row>
    <row r="60" spans="1:10" ht="22.2" customHeight="1" x14ac:dyDescent="0.3">
      <c r="A60" s="61"/>
      <c r="B60" s="61"/>
      <c r="C60" s="61"/>
    </row>
    <row r="61" spans="1:10" ht="22.2" customHeight="1" x14ac:dyDescent="0.3">
      <c r="A61" s="61"/>
      <c r="B61" s="61"/>
      <c r="C61" s="61"/>
    </row>
    <row r="62" spans="1:10" ht="22.2" customHeight="1" x14ac:dyDescent="0.3">
      <c r="A62" s="61"/>
      <c r="B62" s="61"/>
      <c r="C62" s="61"/>
    </row>
    <row r="63" spans="1:10" ht="22.2" customHeight="1" x14ac:dyDescent="0.3">
      <c r="A63" s="61"/>
      <c r="B63" s="61"/>
      <c r="C63" s="61"/>
    </row>
    <row r="64" spans="1:10" ht="22.2" customHeight="1" x14ac:dyDescent="0.3">
      <c r="A64" s="61"/>
      <c r="B64" s="61"/>
      <c r="C64" s="61"/>
    </row>
    <row r="65" spans="1:3" ht="22.2" customHeight="1" x14ac:dyDescent="0.3">
      <c r="A65" s="61"/>
      <c r="B65" s="61"/>
      <c r="C65" s="61"/>
    </row>
    <row r="66" spans="1:3" ht="22.2" customHeight="1" x14ac:dyDescent="0.3">
      <c r="A66" s="61"/>
      <c r="B66" s="61"/>
      <c r="C66" s="61"/>
    </row>
    <row r="67" spans="1:3" ht="22.2" customHeight="1" x14ac:dyDescent="0.3">
      <c r="A67" s="61"/>
      <c r="B67" s="61"/>
      <c r="C67" s="61"/>
    </row>
    <row r="68" spans="1:3" ht="22.2" customHeight="1" x14ac:dyDescent="0.3">
      <c r="A68" s="61"/>
      <c r="B68" s="61"/>
      <c r="C68" s="61"/>
    </row>
    <row r="69" spans="1:3" ht="22.2" customHeight="1" x14ac:dyDescent="0.3">
      <c r="A69" s="61"/>
      <c r="B69" s="61"/>
      <c r="C69" s="61"/>
    </row>
    <row r="70" spans="1:3" ht="22.2" customHeight="1" x14ac:dyDescent="0.3">
      <c r="A70" s="61"/>
      <c r="B70" s="61"/>
      <c r="C70" s="61"/>
    </row>
    <row r="71" spans="1:3" ht="22.2" customHeight="1" x14ac:dyDescent="0.3">
      <c r="A71" s="61"/>
      <c r="B71" s="61"/>
      <c r="C71" s="61"/>
    </row>
    <row r="72" spans="1:3" ht="22.2" customHeight="1" x14ac:dyDescent="0.3">
      <c r="A72" s="61"/>
      <c r="B72" s="61"/>
      <c r="C72" s="61"/>
    </row>
    <row r="73" spans="1:3" ht="22.2" customHeight="1" x14ac:dyDescent="0.3">
      <c r="A73" s="61"/>
      <c r="B73" s="61"/>
      <c r="C73" s="61"/>
    </row>
    <row r="74" spans="1:3" ht="22.2" customHeight="1" x14ac:dyDescent="0.3">
      <c r="A74" s="61"/>
      <c r="B74" s="61"/>
      <c r="C74" s="61"/>
    </row>
    <row r="75" spans="1:3" ht="22.2" customHeight="1" x14ac:dyDescent="0.3">
      <c r="A75" s="61"/>
      <c r="B75" s="61"/>
      <c r="C75" s="61"/>
    </row>
    <row r="76" spans="1:3" ht="22.2" customHeight="1" x14ac:dyDescent="0.3">
      <c r="A76" s="61"/>
      <c r="B76" s="61"/>
      <c r="C76" s="61"/>
    </row>
    <row r="77" spans="1:3" ht="22.2" customHeight="1" x14ac:dyDescent="0.3">
      <c r="A77" s="61"/>
      <c r="B77" s="61"/>
      <c r="C77" s="61"/>
    </row>
    <row r="78" spans="1:3" ht="22.2" customHeight="1" x14ac:dyDescent="0.3">
      <c r="A78" s="61"/>
      <c r="B78" s="61"/>
      <c r="C78" s="61"/>
    </row>
    <row r="79" spans="1:3" ht="22.2" customHeight="1" x14ac:dyDescent="0.3">
      <c r="A79" s="61"/>
      <c r="B79" s="61"/>
      <c r="C79" s="61"/>
    </row>
    <row r="80" spans="1:3" ht="22.2" customHeight="1" x14ac:dyDescent="0.3">
      <c r="A80" s="61"/>
      <c r="B80" s="61"/>
      <c r="C80" s="61"/>
    </row>
    <row r="81" spans="1:10" ht="21.6" customHeight="1" x14ac:dyDescent="0.3">
      <c r="A81" s="65"/>
    </row>
    <row r="82" spans="1:10" x14ac:dyDescent="0.3">
      <c r="A82" s="21" t="s">
        <v>22</v>
      </c>
      <c r="E82" s="100">
        <v>2200</v>
      </c>
    </row>
    <row r="84" spans="1:10" x14ac:dyDescent="0.3">
      <c r="A84" s="21" t="s">
        <v>23</v>
      </c>
    </row>
    <row r="85" spans="1:10" ht="22.2" customHeight="1" x14ac:dyDescent="0.3">
      <c r="B85" s="21" t="s">
        <v>51</v>
      </c>
      <c r="J85" s="53">
        <f>D23</f>
        <v>1997.5</v>
      </c>
    </row>
    <row r="86" spans="1:10" ht="22.2" customHeight="1" x14ac:dyDescent="0.3">
      <c r="B86" s="21" t="s">
        <v>118</v>
      </c>
      <c r="J86" s="94">
        <f>G23</f>
        <v>240.34</v>
      </c>
    </row>
    <row r="87" spans="1:10" ht="22.2" customHeight="1" x14ac:dyDescent="0.3">
      <c r="B87" s="21" t="s">
        <v>52</v>
      </c>
      <c r="J87" s="31">
        <f>J85</f>
        <v>1997.5</v>
      </c>
    </row>
    <row r="88" spans="1:10" ht="22.2" customHeight="1" x14ac:dyDescent="0.3">
      <c r="J88" s="31">
        <f>E82</f>
        <v>2200</v>
      </c>
    </row>
    <row r="89" spans="1:10" ht="22.2" customHeight="1" x14ac:dyDescent="0.3">
      <c r="J89" s="31">
        <f>J88-J87</f>
        <v>202.5</v>
      </c>
    </row>
    <row r="90" spans="1:10" ht="22.2" customHeight="1" x14ac:dyDescent="0.3">
      <c r="H90" s="162" t="s">
        <v>24</v>
      </c>
      <c r="I90" s="162"/>
      <c r="J90" s="31">
        <f>F24</f>
        <v>0.33333333333333331</v>
      </c>
    </row>
    <row r="91" spans="1:10" ht="22.8" customHeight="1" x14ac:dyDescent="0.3">
      <c r="J91" s="96">
        <f>J89*J90</f>
        <v>67.5</v>
      </c>
    </row>
    <row r="92" spans="1:10" ht="17.399999999999999" customHeight="1" x14ac:dyDescent="0.3">
      <c r="J92" s="30"/>
    </row>
    <row r="93" spans="1:10" ht="22.8" customHeight="1" x14ac:dyDescent="0.3">
      <c r="E93" s="152" t="s">
        <v>197</v>
      </c>
      <c r="F93" s="152"/>
      <c r="G93" s="152"/>
      <c r="H93" s="152"/>
      <c r="I93" s="153"/>
      <c r="J93" s="96">
        <f>J86+J91</f>
        <v>307.84000000000003</v>
      </c>
    </row>
    <row r="94" spans="1:10" ht="22.8" customHeight="1" x14ac:dyDescent="0.3">
      <c r="E94" s="113"/>
      <c r="F94" s="113"/>
      <c r="G94" s="113"/>
      <c r="H94" s="113"/>
      <c r="I94" s="113"/>
      <c r="J94" s="124"/>
    </row>
    <row r="95" spans="1:10" ht="16.8" customHeight="1" x14ac:dyDescent="0.3">
      <c r="J95" s="30"/>
    </row>
    <row r="96" spans="1:10" ht="27.6" customHeight="1" x14ac:dyDescent="0.3">
      <c r="A96" s="154" t="s">
        <v>247</v>
      </c>
      <c r="B96" s="155"/>
      <c r="C96" s="155"/>
      <c r="D96" s="155"/>
      <c r="E96" s="155"/>
      <c r="F96" s="155"/>
      <c r="G96" s="155"/>
      <c r="J96" s="59"/>
    </row>
    <row r="97" spans="1:11" ht="8.4" hidden="1" customHeight="1" x14ac:dyDescent="0.3">
      <c r="A97" s="61"/>
      <c r="B97" s="61"/>
      <c r="C97" s="61"/>
      <c r="D97" s="61"/>
      <c r="J97" s="59"/>
    </row>
    <row r="98" spans="1:11" x14ac:dyDescent="0.3">
      <c r="A98" s="156" t="s">
        <v>180</v>
      </c>
      <c r="B98" s="156"/>
      <c r="C98" s="156"/>
      <c r="E98" s="156" t="s">
        <v>246</v>
      </c>
      <c r="F98" s="156"/>
      <c r="G98" s="156"/>
    </row>
    <row r="99" spans="1:11" ht="29.25" customHeight="1" x14ac:dyDescent="0.3">
      <c r="A99" s="22" t="s">
        <v>27</v>
      </c>
      <c r="B99" s="118">
        <f>'EXERCICE 3 2024  C '!E68</f>
        <v>1589.27</v>
      </c>
      <c r="C99" s="157" t="s">
        <v>186</v>
      </c>
      <c r="D99" s="62"/>
      <c r="E99" s="118">
        <f>E50</f>
        <v>1616.3</v>
      </c>
      <c r="F99" s="157" t="s">
        <v>186</v>
      </c>
      <c r="G99" s="120" t="s">
        <v>27</v>
      </c>
    </row>
    <row r="100" spans="1:11" ht="29.25" customHeight="1" x14ac:dyDescent="0.3">
      <c r="A100" s="22" t="s">
        <v>28</v>
      </c>
      <c r="B100" s="72">
        <f>'EXERCICE 3 2024  C '!E69</f>
        <v>314.83333333333331</v>
      </c>
      <c r="C100" s="157"/>
      <c r="D100" s="62"/>
      <c r="E100" s="72">
        <f>J93</f>
        <v>307.84000000000003</v>
      </c>
      <c r="F100" s="157"/>
      <c r="G100" s="119" t="s">
        <v>28</v>
      </c>
    </row>
    <row r="101" spans="1:11" ht="29.25" customHeight="1" x14ac:dyDescent="0.3">
      <c r="A101" s="134" t="s">
        <v>50</v>
      </c>
      <c r="B101" s="158">
        <f>2200-B99-B100</f>
        <v>295.8966666666667</v>
      </c>
      <c r="C101" s="157"/>
      <c r="D101" s="62"/>
      <c r="E101" s="158">
        <f>E103-E99-E100</f>
        <v>275.86</v>
      </c>
      <c r="F101" s="157"/>
      <c r="G101" s="160" t="s">
        <v>50</v>
      </c>
    </row>
    <row r="102" spans="1:11" ht="29.25" customHeight="1" x14ac:dyDescent="0.3">
      <c r="A102" s="135"/>
      <c r="B102" s="159"/>
      <c r="C102" s="157"/>
      <c r="D102" s="62"/>
      <c r="E102" s="159"/>
      <c r="F102" s="157"/>
      <c r="G102" s="161"/>
    </row>
    <row r="103" spans="1:11" ht="34.200000000000003" customHeight="1" x14ac:dyDescent="0.3">
      <c r="B103" s="25">
        <f>SUM(B99:B102)</f>
        <v>2200</v>
      </c>
      <c r="E103" s="25">
        <v>2200</v>
      </c>
    </row>
    <row r="104" spans="1:11" ht="32.4" customHeight="1" x14ac:dyDescent="0.3">
      <c r="A104" s="151" t="s">
        <v>182</v>
      </c>
      <c r="B104" s="151"/>
      <c r="C104" s="151"/>
      <c r="D104" s="151"/>
      <c r="E104" s="151"/>
      <c r="F104" s="151"/>
      <c r="G104" s="151"/>
      <c r="H104" s="151"/>
      <c r="I104" s="151"/>
      <c r="J104" s="151"/>
      <c r="K104" s="151"/>
    </row>
    <row r="105" spans="1:11" ht="21.75" customHeight="1" x14ac:dyDescent="0.3">
      <c r="A105" s="21" t="s">
        <v>30</v>
      </c>
      <c r="B105" s="21" t="s">
        <v>183</v>
      </c>
    </row>
    <row r="106" spans="1:11" ht="21.75" customHeight="1" x14ac:dyDescent="0.3">
      <c r="A106" s="21" t="s">
        <v>33</v>
      </c>
    </row>
    <row r="107" spans="1:11" ht="21.75" customHeight="1" x14ac:dyDescent="0.3">
      <c r="D107" s="122" t="s">
        <v>119</v>
      </c>
      <c r="E107" s="122" t="s">
        <v>120</v>
      </c>
      <c r="F107" s="122" t="s">
        <v>121</v>
      </c>
      <c r="G107" s="123" t="s">
        <v>195</v>
      </c>
      <c r="H107" s="123" t="s">
        <v>196</v>
      </c>
      <c r="K107" s="55"/>
    </row>
    <row r="108" spans="1:11" ht="24.6" customHeight="1" x14ac:dyDescent="0.3">
      <c r="A108" s="127" t="s">
        <v>92</v>
      </c>
      <c r="B108" s="127"/>
      <c r="C108" s="127"/>
      <c r="D108" s="25">
        <f>500</f>
        <v>500</v>
      </c>
      <c r="E108" s="25">
        <v>500</v>
      </c>
      <c r="F108" s="25">
        <v>500</v>
      </c>
      <c r="G108" s="25">
        <v>500</v>
      </c>
      <c r="H108" s="22">
        <v>500</v>
      </c>
      <c r="K108" s="55"/>
    </row>
    <row r="109" spans="1:11" ht="24.6" customHeight="1" x14ac:dyDescent="0.3">
      <c r="A109" s="127" t="s">
        <v>50</v>
      </c>
      <c r="B109" s="127"/>
      <c r="C109" s="127"/>
      <c r="D109" s="121">
        <f>-$E$101</f>
        <v>-275.86</v>
      </c>
      <c r="E109" s="121">
        <f t="shared" ref="E109:H109" si="6">-$E$101</f>
        <v>-275.86</v>
      </c>
      <c r="F109" s="121">
        <f t="shared" si="6"/>
        <v>-275.86</v>
      </c>
      <c r="G109" s="121">
        <f t="shared" si="6"/>
        <v>-275.86</v>
      </c>
      <c r="H109" s="121">
        <f t="shared" si="6"/>
        <v>-275.86</v>
      </c>
      <c r="K109" s="55"/>
    </row>
    <row r="110" spans="1:11" ht="24.6" customHeight="1" x14ac:dyDescent="0.3">
      <c r="A110" s="127" t="s">
        <v>192</v>
      </c>
      <c r="B110" s="127"/>
      <c r="C110" s="127"/>
      <c r="D110" s="25">
        <f>D108+D109</f>
        <v>224.14</v>
      </c>
      <c r="E110" s="25">
        <f>E108+E109</f>
        <v>224.14</v>
      </c>
      <c r="F110" s="25">
        <f t="shared" ref="F110:F114" si="7">E110</f>
        <v>224.14</v>
      </c>
      <c r="G110" s="25">
        <f>G108+G109</f>
        <v>224.14</v>
      </c>
      <c r="H110" s="25">
        <f>H108+H109</f>
        <v>224.14</v>
      </c>
      <c r="K110" s="55"/>
    </row>
    <row r="111" spans="1:11" ht="24.6" customHeight="1" x14ac:dyDescent="0.3">
      <c r="A111" s="127" t="s">
        <v>184</v>
      </c>
      <c r="B111" s="127"/>
      <c r="C111" s="127"/>
      <c r="D111" s="72">
        <f>$E$100</f>
        <v>307.84000000000003</v>
      </c>
      <c r="E111" s="72">
        <f t="shared" ref="E111:H111" si="8">$E$100</f>
        <v>307.84000000000003</v>
      </c>
      <c r="F111" s="72">
        <f t="shared" si="8"/>
        <v>307.84000000000003</v>
      </c>
      <c r="G111" s="72">
        <f t="shared" si="8"/>
        <v>307.84000000000003</v>
      </c>
      <c r="H111" s="72">
        <f t="shared" si="8"/>
        <v>307.84000000000003</v>
      </c>
      <c r="K111" s="55"/>
    </row>
    <row r="112" spans="1:11" ht="30" customHeight="1" x14ac:dyDescent="0.3">
      <c r="A112" s="127" t="s">
        <v>193</v>
      </c>
      <c r="B112" s="127"/>
      <c r="C112" s="127"/>
      <c r="D112" s="25">
        <f>D110</f>
        <v>224.14</v>
      </c>
      <c r="E112" s="25">
        <f>E110</f>
        <v>224.14</v>
      </c>
      <c r="F112" s="25">
        <f t="shared" si="7"/>
        <v>224.14</v>
      </c>
      <c r="G112" s="25">
        <f>G110</f>
        <v>224.14</v>
      </c>
      <c r="H112" s="25">
        <f>H110</f>
        <v>224.14</v>
      </c>
      <c r="K112" s="55"/>
    </row>
    <row r="113" spans="1:11" ht="24.6" customHeight="1" x14ac:dyDescent="0.3">
      <c r="A113" s="127" t="s">
        <v>191</v>
      </c>
      <c r="B113" s="127"/>
      <c r="C113" s="127"/>
      <c r="D113" s="25">
        <f>D110-D109</f>
        <v>500</v>
      </c>
      <c r="E113" s="25">
        <f>E112-E109</f>
        <v>500</v>
      </c>
      <c r="F113" s="25">
        <f t="shared" si="7"/>
        <v>500</v>
      </c>
      <c r="G113" s="25">
        <f>G112-G109</f>
        <v>500</v>
      </c>
      <c r="H113" s="25">
        <f>H112-H109</f>
        <v>500</v>
      </c>
      <c r="K113" s="55"/>
    </row>
    <row r="114" spans="1:11" ht="24.6" customHeight="1" x14ac:dyDescent="0.3">
      <c r="A114" s="127" t="s">
        <v>187</v>
      </c>
      <c r="B114" s="127"/>
      <c r="C114" s="127"/>
      <c r="D114" s="25">
        <f>D111-D110</f>
        <v>83.700000000000045</v>
      </c>
      <c r="E114" s="25">
        <f>E111-E110</f>
        <v>83.700000000000045</v>
      </c>
      <c r="F114" s="25">
        <f t="shared" si="7"/>
        <v>83.700000000000045</v>
      </c>
      <c r="G114" s="25">
        <f>G111-G112</f>
        <v>83.700000000000045</v>
      </c>
      <c r="H114" s="25">
        <f>H111-H110</f>
        <v>83.700000000000045</v>
      </c>
      <c r="K114" s="55"/>
    </row>
    <row r="115" spans="1:11" ht="24.6" customHeight="1" x14ac:dyDescent="0.3">
      <c r="A115" s="127" t="s">
        <v>87</v>
      </c>
      <c r="B115" s="127"/>
      <c r="C115" s="127"/>
      <c r="D115" s="25">
        <v>400</v>
      </c>
      <c r="E115" s="25">
        <f>D117</f>
        <v>316.29999999999995</v>
      </c>
      <c r="F115" s="25">
        <f>E117</f>
        <v>232.59999999999991</v>
      </c>
      <c r="G115" s="25">
        <f>F117</f>
        <v>148.89999999999986</v>
      </c>
      <c r="H115" s="25">
        <f>G117</f>
        <v>65.199999999999818</v>
      </c>
      <c r="K115" s="55"/>
    </row>
    <row r="116" spans="1:11" ht="24.6" customHeight="1" x14ac:dyDescent="0.3">
      <c r="A116" s="148" t="s">
        <v>194</v>
      </c>
      <c r="B116" s="149"/>
      <c r="C116" s="150"/>
      <c r="D116" s="25">
        <f>D114</f>
        <v>83.700000000000045</v>
      </c>
      <c r="E116" s="25">
        <f>E114</f>
        <v>83.700000000000045</v>
      </c>
      <c r="F116" s="25">
        <f>F114</f>
        <v>83.700000000000045</v>
      </c>
      <c r="G116" s="25">
        <f>G114</f>
        <v>83.700000000000045</v>
      </c>
      <c r="H116" s="25">
        <f>H115</f>
        <v>65.199999999999818</v>
      </c>
      <c r="K116" s="55"/>
    </row>
    <row r="117" spans="1:11" ht="24.6" customHeight="1" x14ac:dyDescent="0.3">
      <c r="A117" s="127" t="s">
        <v>188</v>
      </c>
      <c r="B117" s="127"/>
      <c r="C117" s="127"/>
      <c r="D117" s="25">
        <f>D115-D114</f>
        <v>316.29999999999995</v>
      </c>
      <c r="E117" s="25">
        <f>E115-E116</f>
        <v>232.59999999999991</v>
      </c>
      <c r="F117" s="25">
        <f>F115-F116</f>
        <v>148.89999999999986</v>
      </c>
      <c r="G117" s="25">
        <f>G115-G116</f>
        <v>65.199999999999818</v>
      </c>
      <c r="H117" s="21">
        <v>0</v>
      </c>
      <c r="K117" s="55"/>
    </row>
    <row r="118" spans="1:11" ht="24.6" customHeight="1" x14ac:dyDescent="0.3">
      <c r="A118" s="127" t="s">
        <v>190</v>
      </c>
      <c r="B118" s="127"/>
      <c r="C118" s="127"/>
      <c r="D118" s="25"/>
      <c r="E118" s="25"/>
      <c r="F118" s="25">
        <f>F114-F116</f>
        <v>0</v>
      </c>
      <c r="G118" s="25"/>
      <c r="H118" s="25">
        <f>H114-H116</f>
        <v>18.500000000000227</v>
      </c>
      <c r="K118" s="55"/>
    </row>
    <row r="119" spans="1:11" ht="24.6" customHeight="1" x14ac:dyDescent="0.3">
      <c r="A119" s="127" t="s">
        <v>189</v>
      </c>
      <c r="B119" s="127"/>
      <c r="C119" s="127"/>
      <c r="D119" s="108">
        <v>4000</v>
      </c>
      <c r="E119" s="108">
        <f>D119-E118</f>
        <v>4000</v>
      </c>
      <c r="F119" s="108">
        <f>E119-F118</f>
        <v>4000</v>
      </c>
      <c r="G119" s="25">
        <f>F119-G118</f>
        <v>4000</v>
      </c>
      <c r="H119" s="25">
        <f>+G119-H118</f>
        <v>3981.5</v>
      </c>
      <c r="K119" s="55"/>
    </row>
    <row r="120" spans="1:11" ht="21.75" customHeight="1" x14ac:dyDescent="0.3">
      <c r="K120" s="55"/>
    </row>
    <row r="122" spans="1:11" s="103" customFormat="1" hidden="1" x14ac:dyDescent="0.3">
      <c r="A122" s="103" t="s">
        <v>125</v>
      </c>
    </row>
    <row r="123" spans="1:11" s="103" customFormat="1" hidden="1" x14ac:dyDescent="0.3"/>
    <row r="124" spans="1:11" s="103" customFormat="1" hidden="1" x14ac:dyDescent="0.3">
      <c r="B124" s="103" t="s">
        <v>127</v>
      </c>
      <c r="F124" s="102"/>
    </row>
    <row r="125" spans="1:11" s="103" customFormat="1" hidden="1" x14ac:dyDescent="0.3">
      <c r="B125" s="103" t="s">
        <v>123</v>
      </c>
    </row>
    <row r="126" spans="1:11" s="103" customFormat="1" hidden="1" x14ac:dyDescent="0.3">
      <c r="B126" s="103" t="s">
        <v>124</v>
      </c>
    </row>
    <row r="127" spans="1:11" s="103" customFormat="1" hidden="1" x14ac:dyDescent="0.3"/>
    <row r="128" spans="1:11" s="103" customFormat="1" hidden="1" x14ac:dyDescent="0.3">
      <c r="B128" s="103" t="s">
        <v>11</v>
      </c>
      <c r="C128" s="103">
        <v>2000</v>
      </c>
    </row>
    <row r="129" spans="1:7" s="103" customFormat="1" hidden="1" x14ac:dyDescent="0.3">
      <c r="B129" s="103" t="s">
        <v>93</v>
      </c>
      <c r="C129" s="103">
        <v>458.96</v>
      </c>
    </row>
    <row r="130" spans="1:7" s="103" customFormat="1" hidden="1" x14ac:dyDescent="0.3">
      <c r="B130" s="103" t="s">
        <v>27</v>
      </c>
      <c r="C130" s="103">
        <v>607.75</v>
      </c>
    </row>
    <row r="131" spans="1:7" s="103" customFormat="1" hidden="1" x14ac:dyDescent="0.3"/>
    <row r="132" spans="1:7" s="103" customFormat="1" hidden="1" x14ac:dyDescent="0.3"/>
    <row r="133" spans="1:7" s="103" customFormat="1" hidden="1" x14ac:dyDescent="0.3">
      <c r="A133" s="103" t="s">
        <v>126</v>
      </c>
    </row>
    <row r="134" spans="1:7" s="103" customFormat="1" hidden="1" x14ac:dyDescent="0.3"/>
    <row r="135" spans="1:7" s="103" customFormat="1" hidden="1" x14ac:dyDescent="0.3">
      <c r="B135" s="103">
        <v>2000</v>
      </c>
    </row>
    <row r="136" spans="1:7" s="103" customFormat="1" hidden="1" x14ac:dyDescent="0.3">
      <c r="B136" s="103">
        <f>-C129</f>
        <v>-458.96</v>
      </c>
    </row>
    <row r="137" spans="1:7" s="103" customFormat="1" hidden="1" x14ac:dyDescent="0.3">
      <c r="B137" s="103">
        <f>-C130</f>
        <v>-607.75</v>
      </c>
    </row>
    <row r="138" spans="1:7" s="103" customFormat="1" hidden="1" x14ac:dyDescent="0.3">
      <c r="B138" s="104">
        <f>SUM(B135:B137)</f>
        <v>933.29</v>
      </c>
    </row>
    <row r="139" spans="1:7" s="103" customFormat="1" hidden="1" x14ac:dyDescent="0.3"/>
    <row r="140" spans="1:7" s="103" customFormat="1" hidden="1" x14ac:dyDescent="0.3">
      <c r="C140" s="103" t="s">
        <v>130</v>
      </c>
    </row>
    <row r="141" spans="1:7" s="103" customFormat="1" hidden="1" x14ac:dyDescent="0.3"/>
    <row r="142" spans="1:7" s="103" customFormat="1" hidden="1" x14ac:dyDescent="0.3">
      <c r="D142" s="103" t="s">
        <v>128</v>
      </c>
      <c r="G142" s="103">
        <f>B138</f>
        <v>933.29</v>
      </c>
    </row>
    <row r="143" spans="1:7" s="103" customFormat="1" hidden="1" x14ac:dyDescent="0.3">
      <c r="D143" s="103" t="s">
        <v>129</v>
      </c>
      <c r="G143" s="103">
        <f>1000-G142</f>
        <v>66.710000000000036</v>
      </c>
    </row>
    <row r="144" spans="1:7" s="103" customFormat="1" hidden="1" x14ac:dyDescent="0.3">
      <c r="G144" s="103">
        <f>SUM(G142:G143)</f>
        <v>1000</v>
      </c>
    </row>
    <row r="145" spans="1:10" s="103" customFormat="1" hidden="1" x14ac:dyDescent="0.3"/>
    <row r="146" spans="1:10" hidden="1" x14ac:dyDescent="0.3">
      <c r="A146" s="101"/>
      <c r="B146" s="101"/>
      <c r="C146" s="101" t="s">
        <v>131</v>
      </c>
      <c r="D146" s="101"/>
      <c r="E146" s="101"/>
      <c r="F146" s="101"/>
      <c r="G146" s="101"/>
      <c r="H146" s="101"/>
      <c r="I146" s="101"/>
      <c r="J146" s="101"/>
    </row>
    <row r="147" spans="1:10" hidden="1" x14ac:dyDescent="0.3">
      <c r="A147" s="101"/>
      <c r="B147" s="101"/>
      <c r="C147" s="101"/>
      <c r="D147" s="101"/>
      <c r="E147" s="101"/>
      <c r="F147" s="101"/>
      <c r="G147" s="101"/>
      <c r="H147" s="101"/>
      <c r="I147" s="101"/>
      <c r="J147" s="101"/>
    </row>
    <row r="148" spans="1:10" hidden="1" x14ac:dyDescent="0.3">
      <c r="A148" s="101"/>
      <c r="B148" s="101"/>
      <c r="C148" s="101"/>
      <c r="D148" s="101"/>
      <c r="E148" s="101"/>
      <c r="F148" s="101"/>
      <c r="G148" s="101">
        <f>-B136-G143</f>
        <v>392.24999999999994</v>
      </c>
      <c r="H148" s="101"/>
      <c r="I148" s="101"/>
      <c r="J148" s="101"/>
    </row>
    <row r="149" spans="1:10" hidden="1" x14ac:dyDescent="0.3">
      <c r="A149" s="101"/>
      <c r="B149" s="101"/>
      <c r="C149" s="101"/>
      <c r="D149" s="101" t="s">
        <v>132</v>
      </c>
      <c r="E149" s="101"/>
      <c r="F149" s="101"/>
      <c r="G149" s="101">
        <f>1000-G148</f>
        <v>607.75</v>
      </c>
      <c r="H149" s="101"/>
      <c r="I149" s="101"/>
      <c r="J149" s="101"/>
    </row>
    <row r="150" spans="1:10" hidden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</row>
    <row r="151" spans="1:10" hidden="1" x14ac:dyDescent="0.3">
      <c r="A151" s="101"/>
      <c r="B151" s="101"/>
      <c r="C151" s="101" t="s">
        <v>133</v>
      </c>
      <c r="D151" s="101"/>
      <c r="E151" s="101"/>
      <c r="F151" s="101"/>
      <c r="G151" s="101"/>
      <c r="H151" s="101"/>
      <c r="I151" s="101"/>
      <c r="J151" s="101"/>
    </row>
    <row r="153" spans="1:10" hidden="1" x14ac:dyDescent="0.3">
      <c r="E153" s="21">
        <v>2000</v>
      </c>
    </row>
    <row r="154" spans="1:10" hidden="1" x14ac:dyDescent="0.3">
      <c r="E154" s="21">
        <f>-1000</f>
        <v>-1000</v>
      </c>
    </row>
    <row r="155" spans="1:10" hidden="1" x14ac:dyDescent="0.3">
      <c r="E155" s="21">
        <f>-G148</f>
        <v>-392.24999999999994</v>
      </c>
    </row>
    <row r="156" spans="1:10" hidden="1" x14ac:dyDescent="0.3">
      <c r="E156" s="42">
        <f>SUM(E153:E155)</f>
        <v>607.75</v>
      </c>
      <c r="G156" s="21" t="s">
        <v>134</v>
      </c>
    </row>
    <row r="157" spans="1:10" hidden="1" x14ac:dyDescent="0.3"/>
  </sheetData>
  <mergeCells count="42">
    <mergeCell ref="B33:K33"/>
    <mergeCell ref="B16:K16"/>
    <mergeCell ref="C18:E18"/>
    <mergeCell ref="A19:B19"/>
    <mergeCell ref="C19:D19"/>
    <mergeCell ref="A27:K31"/>
    <mergeCell ref="H90:I90"/>
    <mergeCell ref="C42:G42"/>
    <mergeCell ref="I46:J46"/>
    <mergeCell ref="A47:B47"/>
    <mergeCell ref="I47:J47"/>
    <mergeCell ref="A48:B48"/>
    <mergeCell ref="I48:J48"/>
    <mergeCell ref="E44:F44"/>
    <mergeCell ref="A49:B49"/>
    <mergeCell ref="I49:J49"/>
    <mergeCell ref="A50:B50"/>
    <mergeCell ref="I50:J50"/>
    <mergeCell ref="A51:B51"/>
    <mergeCell ref="E93:I93"/>
    <mergeCell ref="A98:C98"/>
    <mergeCell ref="C99:C102"/>
    <mergeCell ref="F99:F102"/>
    <mergeCell ref="A101:A102"/>
    <mergeCell ref="B101:B102"/>
    <mergeCell ref="E101:E102"/>
    <mergeCell ref="A115:C115"/>
    <mergeCell ref="A116:C116"/>
    <mergeCell ref="A117:C117"/>
    <mergeCell ref="A118:C118"/>
    <mergeCell ref="A119:C119"/>
    <mergeCell ref="G101:G102"/>
    <mergeCell ref="A104:K104"/>
    <mergeCell ref="A96:G96"/>
    <mergeCell ref="E98:G98"/>
    <mergeCell ref="A114:C114"/>
    <mergeCell ref="A108:C108"/>
    <mergeCell ref="A109:C109"/>
    <mergeCell ref="A110:C110"/>
    <mergeCell ref="A111:C111"/>
    <mergeCell ref="A112:C112"/>
    <mergeCell ref="A113:C11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40F44-8408-4A6E-9DDC-3C8F446F5ED1}">
  <dimension ref="A2:M75"/>
  <sheetViews>
    <sheetView topLeftCell="A62" workbookViewId="0">
      <selection activeCell="G23" sqref="G23"/>
    </sheetView>
  </sheetViews>
  <sheetFormatPr baseColWidth="10" defaultColWidth="11.44140625" defaultRowHeight="15.6" x14ac:dyDescent="0.3"/>
  <cols>
    <col min="1" max="1" width="14" style="21" customWidth="1"/>
    <col min="2" max="3" width="11.44140625" style="21"/>
    <col min="4" max="4" width="11.33203125" style="21" customWidth="1"/>
    <col min="5" max="9" width="11.44140625" style="21"/>
    <col min="10" max="10" width="18.44140625" style="21" customWidth="1"/>
    <col min="11" max="11" width="16.6640625" style="21" customWidth="1"/>
    <col min="12" max="16384" width="11.44140625" style="21"/>
  </cols>
  <sheetData>
    <row r="2" spans="2:11" x14ac:dyDescent="0.3">
      <c r="B2" s="21" t="s">
        <v>157</v>
      </c>
    </row>
    <row r="4" spans="2:11" x14ac:dyDescent="0.3">
      <c r="B4" s="21" t="s">
        <v>60</v>
      </c>
    </row>
    <row r="6" spans="2:11" x14ac:dyDescent="0.3">
      <c r="E6" s="21" t="s">
        <v>35</v>
      </c>
    </row>
    <row r="7" spans="2:11" x14ac:dyDescent="0.3">
      <c r="E7" s="21" t="s">
        <v>32</v>
      </c>
    </row>
    <row r="8" spans="2:11" x14ac:dyDescent="0.3">
      <c r="E8" s="21" t="s">
        <v>41</v>
      </c>
    </row>
    <row r="10" spans="2:11" x14ac:dyDescent="0.3">
      <c r="B10" s="21" t="s">
        <v>86</v>
      </c>
    </row>
    <row r="12" spans="2:11" x14ac:dyDescent="0.3">
      <c r="B12" s="44" t="s">
        <v>19</v>
      </c>
      <c r="C12" s="44"/>
      <c r="D12" s="44"/>
    </row>
    <row r="14" spans="2:11" ht="32.4" customHeight="1" x14ac:dyDescent="0.3">
      <c r="B14" s="165" t="s">
        <v>150</v>
      </c>
      <c r="C14" s="165"/>
      <c r="D14" s="165"/>
      <c r="E14" s="165"/>
      <c r="F14" s="165"/>
      <c r="G14" s="165"/>
      <c r="H14" s="165"/>
      <c r="I14" s="165"/>
      <c r="J14" s="165"/>
      <c r="K14" s="165"/>
    </row>
    <row r="15" spans="2:11" x14ac:dyDescent="0.3">
      <c r="B15" s="59"/>
      <c r="C15" s="59"/>
      <c r="D15" s="59"/>
      <c r="E15" s="59"/>
      <c r="F15" s="59"/>
      <c r="G15" s="59"/>
      <c r="H15" s="59"/>
      <c r="I15" s="59"/>
      <c r="J15" s="59"/>
      <c r="K15" s="59"/>
    </row>
    <row r="16" spans="2:11" ht="37.5" customHeight="1" x14ac:dyDescent="0.3">
      <c r="B16" s="30"/>
      <c r="C16" s="127" t="s">
        <v>112</v>
      </c>
      <c r="D16" s="127"/>
      <c r="E16" s="127"/>
      <c r="F16" s="30"/>
      <c r="G16" s="30"/>
      <c r="H16" s="30"/>
      <c r="I16" s="30"/>
      <c r="J16" s="30"/>
    </row>
    <row r="17" spans="1:11" ht="60.75" customHeight="1" x14ac:dyDescent="0.3">
      <c r="A17" s="127" t="s">
        <v>61</v>
      </c>
      <c r="B17" s="127"/>
      <c r="C17" s="148" t="s">
        <v>85</v>
      </c>
      <c r="D17" s="150"/>
      <c r="E17" s="22" t="s">
        <v>13</v>
      </c>
      <c r="F17" s="60" t="s">
        <v>2</v>
      </c>
      <c r="G17" s="60" t="s">
        <v>47</v>
      </c>
      <c r="H17" s="22" t="s">
        <v>84</v>
      </c>
      <c r="I17" s="61"/>
      <c r="J17" s="61"/>
    </row>
    <row r="18" spans="1:11" ht="33" customHeight="1" x14ac:dyDescent="0.3">
      <c r="A18" s="22"/>
      <c r="B18" s="25">
        <f>'BAREME 2024 TABLEAU  '!B3</f>
        <v>364.17</v>
      </c>
      <c r="C18" s="25"/>
      <c r="D18" s="25"/>
      <c r="E18" s="25"/>
      <c r="F18" s="25">
        <f>1/20</f>
        <v>0.05</v>
      </c>
      <c r="G18" s="31"/>
      <c r="H18" s="32"/>
      <c r="I18" s="62"/>
      <c r="J18" s="62"/>
    </row>
    <row r="19" spans="1:11" ht="33" customHeight="1" x14ac:dyDescent="0.3">
      <c r="A19" s="63">
        <f>B18</f>
        <v>364.17</v>
      </c>
      <c r="B19" s="25">
        <f>'BAREME 2024 TABLEAU  '!B4</f>
        <v>710</v>
      </c>
      <c r="C19" s="25"/>
      <c r="D19" s="25"/>
      <c r="E19" s="25"/>
      <c r="F19" s="25">
        <v>0.1</v>
      </c>
      <c r="G19" s="31"/>
      <c r="H19" s="32"/>
      <c r="I19" s="62"/>
      <c r="J19" s="62"/>
    </row>
    <row r="20" spans="1:11" ht="33" customHeight="1" x14ac:dyDescent="0.3">
      <c r="A20" s="63">
        <f t="shared" ref="A20:A23" si="0">B19</f>
        <v>710</v>
      </c>
      <c r="B20" s="25">
        <f>'BAREME 2024 TABLEAU  '!B5</f>
        <v>1057.5</v>
      </c>
      <c r="C20" s="25"/>
      <c r="D20" s="25"/>
      <c r="E20" s="25"/>
      <c r="F20" s="25">
        <v>0.2</v>
      </c>
      <c r="G20" s="31"/>
      <c r="H20" s="32"/>
      <c r="I20" s="62"/>
      <c r="J20" s="62"/>
    </row>
    <row r="21" spans="1:11" ht="33" customHeight="1" x14ac:dyDescent="0.3">
      <c r="A21" s="63">
        <f t="shared" si="0"/>
        <v>1057.5</v>
      </c>
      <c r="B21" s="25">
        <f>'BAREME 2024 TABLEAU  '!B6</f>
        <v>1401.67</v>
      </c>
      <c r="C21" s="25"/>
      <c r="D21" s="25"/>
      <c r="E21" s="25"/>
      <c r="F21" s="25">
        <v>0.25</v>
      </c>
      <c r="G21" s="31"/>
      <c r="H21" s="32"/>
      <c r="I21" s="62"/>
      <c r="J21" s="62"/>
    </row>
    <row r="22" spans="1:11" ht="33" customHeight="1" x14ac:dyDescent="0.3">
      <c r="A22" s="63">
        <f t="shared" si="0"/>
        <v>1401.67</v>
      </c>
      <c r="B22" s="25">
        <f>'BAREME 2024 TABLEAU  '!B7</f>
        <v>1747.5</v>
      </c>
      <c r="C22" s="25"/>
      <c r="D22" s="25"/>
      <c r="E22" s="25"/>
      <c r="F22" s="25">
        <v>0.33333333333333331</v>
      </c>
      <c r="G22" s="31"/>
      <c r="H22" s="32"/>
      <c r="I22" s="62"/>
      <c r="J22" s="62"/>
    </row>
    <row r="23" spans="1:11" ht="33" customHeight="1" x14ac:dyDescent="0.3">
      <c r="A23" s="63">
        <f t="shared" si="0"/>
        <v>1747.5</v>
      </c>
      <c r="B23" s="25">
        <f>'BAREME 2024 TABLEAU  '!B8</f>
        <v>2100</v>
      </c>
      <c r="C23" s="25"/>
      <c r="D23" s="25"/>
      <c r="E23" s="25"/>
      <c r="F23" s="25">
        <v>0.66666666666666663</v>
      </c>
      <c r="G23" s="31"/>
      <c r="H23" s="32"/>
      <c r="I23" s="62"/>
      <c r="J23" s="62"/>
    </row>
    <row r="25" spans="1:11" x14ac:dyDescent="0.3">
      <c r="A25" s="166" t="s">
        <v>185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</row>
    <row r="26" spans="1:11" ht="9.75" customHeight="1" x14ac:dyDescent="0.3">
      <c r="A26" s="166"/>
      <c r="B26" s="166"/>
      <c r="C26" s="166"/>
      <c r="D26" s="166"/>
      <c r="E26" s="166"/>
      <c r="F26" s="166"/>
      <c r="G26" s="166"/>
      <c r="H26" s="166"/>
      <c r="I26" s="166"/>
      <c r="J26" s="166"/>
      <c r="K26" s="166"/>
    </row>
    <row r="27" spans="1:11" ht="31.5" hidden="1" customHeight="1" x14ac:dyDescent="0.3">
      <c r="A27" s="166"/>
      <c r="B27" s="166"/>
      <c r="C27" s="166"/>
      <c r="D27" s="166"/>
      <c r="E27" s="166"/>
      <c r="F27" s="166"/>
      <c r="G27" s="166"/>
      <c r="H27" s="166"/>
      <c r="I27" s="166"/>
      <c r="J27" s="166"/>
      <c r="K27" s="166"/>
    </row>
    <row r="28" spans="1:11" ht="31.5" hidden="1" customHeight="1" x14ac:dyDescent="0.3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</row>
    <row r="29" spans="1:11" x14ac:dyDescent="0.3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ht="15" hidden="1" customHeight="1" x14ac:dyDescent="0.3">
      <c r="A30" s="65" t="s">
        <v>105</v>
      </c>
    </row>
    <row r="31" spans="1:11" hidden="1" x14ac:dyDescent="0.3">
      <c r="B31" s="167" t="s">
        <v>46</v>
      </c>
      <c r="C31" s="167"/>
      <c r="D31" s="167"/>
      <c r="E31" s="167"/>
      <c r="F31" s="167"/>
      <c r="G31" s="167"/>
      <c r="H31" s="167"/>
      <c r="I31" s="167"/>
      <c r="J31" s="167"/>
      <c r="K31" s="167"/>
    </row>
    <row r="32" spans="1:11" hidden="1" x14ac:dyDescent="0.3">
      <c r="B32" s="30"/>
      <c r="C32" s="30"/>
      <c r="D32" s="30"/>
      <c r="E32" s="30"/>
      <c r="F32" s="30"/>
      <c r="G32" s="30"/>
      <c r="H32" s="30"/>
      <c r="I32" s="30"/>
      <c r="J32" s="30"/>
    </row>
    <row r="33" spans="1:13" ht="60.75" hidden="1" customHeight="1" x14ac:dyDescent="0.3">
      <c r="E33" s="22" t="s">
        <v>13</v>
      </c>
      <c r="F33" s="60" t="s">
        <v>53</v>
      </c>
      <c r="G33" s="60" t="s">
        <v>2</v>
      </c>
      <c r="H33" s="60" t="s">
        <v>47</v>
      </c>
      <c r="I33" s="22" t="s">
        <v>48</v>
      </c>
      <c r="J33" s="22" t="s">
        <v>49</v>
      </c>
      <c r="K33" s="22" t="s">
        <v>54</v>
      </c>
    </row>
    <row r="34" spans="1:13" hidden="1" x14ac:dyDescent="0.3">
      <c r="B34" s="31">
        <v>313.33</v>
      </c>
      <c r="C34" s="31"/>
      <c r="D34" s="31"/>
      <c r="E34" s="31"/>
      <c r="F34" s="32"/>
      <c r="G34" s="64">
        <f>1/20</f>
        <v>0.05</v>
      </c>
      <c r="H34" s="31">
        <f>ROUND(B34*G34,2)</f>
        <v>15.67</v>
      </c>
      <c r="I34" s="31">
        <f>ROUND(H34,2)</f>
        <v>15.67</v>
      </c>
      <c r="J34" s="31"/>
      <c r="K34" s="32"/>
    </row>
    <row r="35" spans="1:13" hidden="1" x14ac:dyDescent="0.3">
      <c r="B35" s="31">
        <v>611.66999999999996</v>
      </c>
      <c r="C35" s="31"/>
      <c r="D35" s="31"/>
      <c r="E35" s="31"/>
      <c r="F35" s="32"/>
      <c r="G35" s="64">
        <v>0.1</v>
      </c>
      <c r="H35" s="31">
        <f>ROUND((B35-B34)*G35,2)</f>
        <v>29.83</v>
      </c>
      <c r="I35" s="31">
        <f>I34+H35</f>
        <v>45.5</v>
      </c>
      <c r="J35" s="31"/>
      <c r="K35" s="32"/>
    </row>
    <row r="36" spans="1:13" hidden="1" x14ac:dyDescent="0.3">
      <c r="B36" s="31">
        <v>911.67</v>
      </c>
      <c r="C36" s="31"/>
      <c r="D36" s="31"/>
      <c r="E36" s="31"/>
      <c r="F36" s="32"/>
      <c r="G36" s="64">
        <v>0.2</v>
      </c>
      <c r="H36" s="31">
        <f>ROUND((B36-B35)*G36,2)</f>
        <v>60</v>
      </c>
      <c r="I36" s="31">
        <f t="shared" ref="I36:I39" si="1">I35+H36</f>
        <v>105.5</v>
      </c>
      <c r="J36" s="31"/>
      <c r="K36" s="32"/>
    </row>
    <row r="37" spans="1:13" hidden="1" x14ac:dyDescent="0.3">
      <c r="B37" s="31">
        <v>1210.83</v>
      </c>
      <c r="C37" s="31"/>
      <c r="D37" s="31"/>
      <c r="E37" s="31"/>
      <c r="F37" s="32"/>
      <c r="G37" s="64">
        <v>0.25</v>
      </c>
      <c r="H37" s="31">
        <f>ROUND((B37-B36)*G37,2)</f>
        <v>74.790000000000006</v>
      </c>
      <c r="I37" s="31">
        <f t="shared" si="1"/>
        <v>180.29000000000002</v>
      </c>
      <c r="J37" s="31"/>
      <c r="K37" s="32"/>
    </row>
    <row r="38" spans="1:13" hidden="1" x14ac:dyDescent="0.3">
      <c r="B38" s="31">
        <v>1509.17</v>
      </c>
      <c r="C38" s="31"/>
      <c r="D38" s="31"/>
      <c r="E38" s="31"/>
      <c r="F38" s="32"/>
      <c r="G38" s="64">
        <v>0.33333333333333331</v>
      </c>
      <c r="H38" s="31">
        <f>ROUND((B38-B37)*G38,2)</f>
        <v>99.45</v>
      </c>
      <c r="I38" s="31">
        <f t="shared" si="1"/>
        <v>279.74</v>
      </c>
      <c r="J38" s="31"/>
      <c r="K38" s="32"/>
    </row>
    <row r="39" spans="1:13" hidden="1" x14ac:dyDescent="0.3">
      <c r="B39" s="31">
        <v>1813.33</v>
      </c>
      <c r="C39" s="31"/>
      <c r="D39" s="31"/>
      <c r="E39" s="31"/>
      <c r="F39" s="32"/>
      <c r="G39" s="64">
        <v>0.66666666666666663</v>
      </c>
      <c r="H39" s="31">
        <f>ROUND((B39-B38)*G39,2)</f>
        <v>202.77</v>
      </c>
      <c r="I39" s="31">
        <f t="shared" si="1"/>
        <v>482.51</v>
      </c>
      <c r="J39" s="31"/>
      <c r="K39" s="32"/>
    </row>
    <row r="40" spans="1:13" x14ac:dyDescent="0.3">
      <c r="B40" s="70"/>
      <c r="C40" s="70"/>
      <c r="D40" s="70"/>
      <c r="E40" s="70"/>
      <c r="F40" s="70"/>
      <c r="G40" s="97"/>
      <c r="H40" s="70"/>
      <c r="I40" s="70"/>
      <c r="J40" s="70"/>
      <c r="K40" s="70"/>
    </row>
    <row r="41" spans="1:13" x14ac:dyDescent="0.3">
      <c r="B41" s="70"/>
      <c r="C41" s="70"/>
      <c r="D41" s="70"/>
      <c r="E41" s="70"/>
      <c r="F41" s="70"/>
      <c r="G41" s="97"/>
      <c r="H41" s="70"/>
      <c r="I41" s="70"/>
      <c r="J41" s="70"/>
      <c r="K41" s="70"/>
    </row>
    <row r="42" spans="1:13" x14ac:dyDescent="0.3">
      <c r="B42" s="70"/>
      <c r="C42" s="70"/>
      <c r="D42" s="70"/>
      <c r="E42" s="70"/>
      <c r="F42" s="70"/>
      <c r="G42" s="97"/>
      <c r="H42" s="70"/>
      <c r="I42" s="70"/>
      <c r="J42" s="70"/>
      <c r="K42" s="70"/>
    </row>
    <row r="43" spans="1:13" x14ac:dyDescent="0.3">
      <c r="B43" s="70"/>
      <c r="C43" s="70"/>
      <c r="D43" s="70"/>
      <c r="E43" s="70"/>
      <c r="F43" s="70"/>
      <c r="G43" s="97"/>
      <c r="H43" s="70"/>
      <c r="I43" s="70"/>
      <c r="J43" s="70"/>
      <c r="K43" s="70"/>
    </row>
    <row r="44" spans="1:13" x14ac:dyDescent="0.3">
      <c r="B44" s="70"/>
      <c r="C44" s="70"/>
      <c r="D44" s="70"/>
      <c r="E44" s="70"/>
      <c r="F44" s="70"/>
      <c r="G44" s="97"/>
      <c r="H44" s="70"/>
      <c r="I44" s="70"/>
      <c r="J44" s="70"/>
      <c r="K44" s="70"/>
    </row>
    <row r="45" spans="1:13" x14ac:dyDescent="0.3">
      <c r="B45" s="70"/>
      <c r="C45" s="70"/>
      <c r="D45" s="70"/>
      <c r="E45" s="70"/>
      <c r="F45" s="70"/>
      <c r="G45" s="97"/>
      <c r="H45" s="70"/>
      <c r="I45" s="70"/>
      <c r="J45" s="70"/>
      <c r="K45" s="70"/>
    </row>
    <row r="46" spans="1:13" ht="28.8" customHeight="1" x14ac:dyDescent="0.3">
      <c r="B46" s="62"/>
      <c r="C46" s="170" t="s">
        <v>174</v>
      </c>
      <c r="D46" s="170"/>
      <c r="E46" s="170"/>
      <c r="F46" s="170"/>
      <c r="G46" s="170"/>
      <c r="H46" s="62"/>
      <c r="I46" s="171" t="s">
        <v>175</v>
      </c>
      <c r="J46" s="171"/>
      <c r="K46" s="171"/>
      <c r="L46" s="171"/>
      <c r="M46" s="171"/>
    </row>
    <row r="47" spans="1:13" x14ac:dyDescent="0.3">
      <c r="B47" s="62"/>
      <c r="C47" s="62"/>
      <c r="D47" s="62"/>
      <c r="E47" s="62"/>
      <c r="F47" s="70"/>
      <c r="G47" s="90"/>
      <c r="H47" s="62"/>
      <c r="I47" s="62"/>
      <c r="J47" s="62"/>
      <c r="K47" s="70"/>
    </row>
    <row r="48" spans="1:13" x14ac:dyDescent="0.3">
      <c r="A48" s="21" t="s">
        <v>159</v>
      </c>
      <c r="B48" s="62"/>
      <c r="D48" s="62">
        <v>607.75</v>
      </c>
      <c r="E48" s="62"/>
      <c r="F48" s="70"/>
      <c r="G48" s="90"/>
      <c r="H48" s="62"/>
      <c r="J48" s="62"/>
      <c r="K48" s="62">
        <v>635.70000000000005</v>
      </c>
    </row>
    <row r="49" spans="1:13" x14ac:dyDescent="0.3">
      <c r="A49" s="21" t="s">
        <v>160</v>
      </c>
      <c r="B49" s="62"/>
      <c r="C49" s="62"/>
      <c r="D49" s="62"/>
      <c r="F49" s="70"/>
      <c r="G49" s="62" t="s">
        <v>159</v>
      </c>
      <c r="H49" s="62"/>
      <c r="I49" s="126" t="s">
        <v>160</v>
      </c>
      <c r="J49" s="126"/>
      <c r="K49" s="70"/>
      <c r="M49" s="21" t="s">
        <v>159</v>
      </c>
    </row>
    <row r="50" spans="1:13" ht="22.2" customHeight="1" x14ac:dyDescent="0.3">
      <c r="A50" s="125" t="s">
        <v>107</v>
      </c>
      <c r="B50" s="125"/>
      <c r="C50" s="61">
        <v>911.63</v>
      </c>
      <c r="D50" s="21" t="s">
        <v>161</v>
      </c>
      <c r="G50" s="43">
        <f>D48</f>
        <v>607.75</v>
      </c>
      <c r="I50" s="125" t="s">
        <v>107</v>
      </c>
      <c r="J50" s="125"/>
      <c r="K50" s="21">
        <v>953.56</v>
      </c>
      <c r="M50" s="43">
        <f>K48</f>
        <v>635.70000000000005</v>
      </c>
    </row>
    <row r="51" spans="1:13" ht="22.2" customHeight="1" x14ac:dyDescent="0.3">
      <c r="A51" s="125" t="s">
        <v>108</v>
      </c>
      <c r="B51" s="125"/>
      <c r="C51" s="61">
        <v>1093.96</v>
      </c>
      <c r="G51" s="21">
        <f>+C50</f>
        <v>911.63</v>
      </c>
      <c r="I51" s="125" t="s">
        <v>108</v>
      </c>
      <c r="J51" s="125"/>
      <c r="K51" s="21">
        <v>1144.28</v>
      </c>
      <c r="M51" s="21">
        <f>K50</f>
        <v>953.56</v>
      </c>
    </row>
    <row r="52" spans="1:13" ht="22.2" customHeight="1" x14ac:dyDescent="0.3">
      <c r="A52" s="125" t="s">
        <v>109</v>
      </c>
      <c r="B52" s="125"/>
      <c r="C52" s="61">
        <v>1276.79</v>
      </c>
      <c r="G52" s="21">
        <f>+C51</f>
        <v>1093.96</v>
      </c>
      <c r="I52" s="125" t="s">
        <v>109</v>
      </c>
      <c r="J52" s="125"/>
      <c r="K52" s="21">
        <v>1334.99</v>
      </c>
      <c r="M52" s="21">
        <f>K51</f>
        <v>1144.28</v>
      </c>
    </row>
    <row r="53" spans="1:13" ht="22.2" customHeight="1" x14ac:dyDescent="0.3">
      <c r="A53" s="125" t="s">
        <v>111</v>
      </c>
      <c r="B53" s="125"/>
      <c r="C53" s="61">
        <v>1519.39</v>
      </c>
      <c r="G53" s="21">
        <v>1337.06</v>
      </c>
      <c r="I53" s="125" t="s">
        <v>110</v>
      </c>
      <c r="J53" s="125"/>
      <c r="K53" s="21">
        <v>254.28</v>
      </c>
      <c r="M53" s="21">
        <f>K53</f>
        <v>254.28</v>
      </c>
    </row>
    <row r="54" spans="1:13" ht="22.2" customHeight="1" x14ac:dyDescent="0.3">
      <c r="A54" s="125" t="s">
        <v>110</v>
      </c>
      <c r="B54" s="125"/>
      <c r="C54" s="61">
        <v>243.1</v>
      </c>
      <c r="G54" s="21">
        <v>243.1</v>
      </c>
    </row>
    <row r="55" spans="1:13" x14ac:dyDescent="0.3">
      <c r="A55" s="21" t="s">
        <v>23</v>
      </c>
    </row>
    <row r="56" spans="1:13" ht="29.25" customHeight="1" x14ac:dyDescent="0.3">
      <c r="B56" s="21" t="s">
        <v>51</v>
      </c>
      <c r="J56" s="52">
        <f>K38</f>
        <v>0</v>
      </c>
    </row>
    <row r="57" spans="1:13" ht="29.25" customHeight="1" x14ac:dyDescent="0.3">
      <c r="J57" s="51"/>
    </row>
    <row r="58" spans="1:13" ht="29.25" customHeight="1" x14ac:dyDescent="0.3">
      <c r="B58" s="21" t="s">
        <v>52</v>
      </c>
      <c r="J58" s="31"/>
    </row>
    <row r="59" spans="1:13" ht="29.25" customHeight="1" x14ac:dyDescent="0.3">
      <c r="J59" s="31"/>
    </row>
    <row r="60" spans="1:13" ht="29.25" customHeight="1" x14ac:dyDescent="0.3">
      <c r="J60" s="31"/>
    </row>
    <row r="61" spans="1:13" ht="29.25" customHeight="1" x14ac:dyDescent="0.3">
      <c r="H61" s="162" t="s">
        <v>24</v>
      </c>
      <c r="I61" s="162"/>
      <c r="J61" s="31"/>
    </row>
    <row r="62" spans="1:13" ht="29.25" customHeight="1" x14ac:dyDescent="0.3">
      <c r="J62" s="66"/>
    </row>
    <row r="63" spans="1:13" ht="29.25" customHeight="1" x14ac:dyDescent="0.3">
      <c r="J63" s="30"/>
    </row>
    <row r="64" spans="1:13" ht="29.25" customHeight="1" x14ac:dyDescent="0.3">
      <c r="G64" s="21" t="s">
        <v>25</v>
      </c>
      <c r="J64" s="66"/>
    </row>
    <row r="65" spans="1:10" ht="29.25" customHeight="1" x14ac:dyDescent="0.3">
      <c r="J65" s="30"/>
    </row>
    <row r="66" spans="1:10" ht="29.25" customHeight="1" x14ac:dyDescent="0.3">
      <c r="A66" s="127" t="s">
        <v>26</v>
      </c>
      <c r="B66" s="127"/>
      <c r="C66" s="127"/>
      <c r="D66" s="127"/>
      <c r="J66" s="47"/>
    </row>
    <row r="68" spans="1:10" ht="29.25" customHeight="1" x14ac:dyDescent="0.3">
      <c r="A68" s="22" t="s">
        <v>27</v>
      </c>
      <c r="B68" s="31"/>
      <c r="C68" s="157" t="s">
        <v>186</v>
      </c>
      <c r="D68" s="62"/>
    </row>
    <row r="69" spans="1:10" ht="29.25" customHeight="1" x14ac:dyDescent="0.3">
      <c r="A69" s="22" t="s">
        <v>28</v>
      </c>
      <c r="B69" s="31"/>
      <c r="C69" s="157"/>
      <c r="D69" s="62"/>
    </row>
    <row r="70" spans="1:10" ht="29.25" customHeight="1" x14ac:dyDescent="0.3">
      <c r="A70" s="134" t="s">
        <v>50</v>
      </c>
      <c r="B70" s="168"/>
      <c r="C70" s="157"/>
      <c r="D70" s="62"/>
    </row>
    <row r="71" spans="1:10" ht="29.25" customHeight="1" x14ac:dyDescent="0.3">
      <c r="A71" s="135"/>
      <c r="B71" s="169"/>
      <c r="C71" s="157"/>
      <c r="D71" s="62"/>
    </row>
    <row r="73" spans="1:10" ht="21.75" customHeight="1" x14ac:dyDescent="0.3">
      <c r="A73" s="21" t="s">
        <v>29</v>
      </c>
      <c r="J73" s="31"/>
    </row>
    <row r="74" spans="1:10" ht="21.75" customHeight="1" x14ac:dyDescent="0.3">
      <c r="A74" s="21" t="s">
        <v>30</v>
      </c>
      <c r="B74" s="21" t="s">
        <v>31</v>
      </c>
      <c r="J74" s="31"/>
    </row>
    <row r="75" spans="1:10" ht="21.75" customHeight="1" x14ac:dyDescent="0.3">
      <c r="A75" s="21" t="s">
        <v>33</v>
      </c>
      <c r="J75" s="56"/>
    </row>
  </sheetData>
  <mergeCells count="23">
    <mergeCell ref="C46:G46"/>
    <mergeCell ref="I46:M46"/>
    <mergeCell ref="I49:J49"/>
    <mergeCell ref="I50:J50"/>
    <mergeCell ref="I51:J51"/>
    <mergeCell ref="I52:J52"/>
    <mergeCell ref="A53:B53"/>
    <mergeCell ref="A50:B50"/>
    <mergeCell ref="H61:I61"/>
    <mergeCell ref="I53:J53"/>
    <mergeCell ref="A54:B54"/>
    <mergeCell ref="A66:D66"/>
    <mergeCell ref="C68:C71"/>
    <mergeCell ref="A70:A71"/>
    <mergeCell ref="B70:B71"/>
    <mergeCell ref="A51:B51"/>
    <mergeCell ref="A52:B52"/>
    <mergeCell ref="B31:K31"/>
    <mergeCell ref="B14:K14"/>
    <mergeCell ref="C16:E16"/>
    <mergeCell ref="A17:B17"/>
    <mergeCell ref="C17:D17"/>
    <mergeCell ref="A25:K29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80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319E4-D4F0-455B-8387-ECF381E5EB9F}">
  <dimension ref="A2:M126"/>
  <sheetViews>
    <sheetView topLeftCell="A71" zoomScale="98" workbookViewId="0">
      <selection activeCell="E79" sqref="E79"/>
    </sheetView>
  </sheetViews>
  <sheetFormatPr baseColWidth="10" defaultColWidth="11.44140625" defaultRowHeight="15.6" x14ac:dyDescent="0.3"/>
  <cols>
    <col min="1" max="1" width="14" style="21" customWidth="1"/>
    <col min="2" max="3" width="11.44140625" style="21"/>
    <col min="4" max="4" width="11.33203125" style="21" customWidth="1"/>
    <col min="5" max="5" width="17.21875" style="21" customWidth="1"/>
    <col min="6" max="6" width="13.77734375" style="21" customWidth="1"/>
    <col min="7" max="7" width="13.44140625" style="21" customWidth="1"/>
    <col min="8" max="8" width="12.21875" style="21" bestFit="1" customWidth="1"/>
    <col min="9" max="9" width="16.6640625" style="21" customWidth="1"/>
    <col min="10" max="10" width="18.44140625" style="21" customWidth="1"/>
    <col min="11" max="11" width="16.6640625" style="21" customWidth="1"/>
    <col min="12" max="16384" width="11.44140625" style="21"/>
  </cols>
  <sheetData>
    <row r="2" spans="2:11" x14ac:dyDescent="0.3">
      <c r="B2" s="21" t="s">
        <v>157</v>
      </c>
    </row>
    <row r="4" spans="2:11" x14ac:dyDescent="0.3">
      <c r="B4" s="21" t="s">
        <v>60</v>
      </c>
    </row>
    <row r="6" spans="2:11" x14ac:dyDescent="0.3">
      <c r="E6" s="21" t="s">
        <v>35</v>
      </c>
    </row>
    <row r="7" spans="2:11" x14ac:dyDescent="0.3">
      <c r="E7" s="21" t="s">
        <v>158</v>
      </c>
    </row>
    <row r="8" spans="2:11" x14ac:dyDescent="0.3">
      <c r="E8" s="21" t="s">
        <v>41</v>
      </c>
    </row>
    <row r="10" spans="2:11" x14ac:dyDescent="0.3">
      <c r="B10" s="21" t="s">
        <v>86</v>
      </c>
    </row>
    <row r="11" spans="2:11" x14ac:dyDescent="0.3">
      <c r="J11" s="30"/>
      <c r="K11" s="55"/>
    </row>
    <row r="12" spans="2:11" x14ac:dyDescent="0.3">
      <c r="B12" s="21" t="s">
        <v>113</v>
      </c>
      <c r="F12" s="30">
        <f>'BAREME 2024  et 2025 C '!E8</f>
        <v>140.83000000000001</v>
      </c>
      <c r="G12" s="21" t="s">
        <v>114</v>
      </c>
      <c r="J12" s="30"/>
    </row>
    <row r="14" spans="2:11" x14ac:dyDescent="0.3">
      <c r="B14" s="44" t="s">
        <v>19</v>
      </c>
      <c r="C14" s="44"/>
      <c r="D14" s="44"/>
    </row>
    <row r="16" spans="2:11" ht="27.6" customHeight="1" x14ac:dyDescent="0.3">
      <c r="B16" s="165" t="s">
        <v>150</v>
      </c>
      <c r="C16" s="165"/>
      <c r="D16" s="165"/>
      <c r="E16" s="165"/>
      <c r="F16" s="165"/>
      <c r="G16" s="165"/>
      <c r="H16" s="165"/>
      <c r="I16" s="165"/>
      <c r="J16" s="165"/>
      <c r="K16" s="165"/>
    </row>
    <row r="17" spans="1:11" x14ac:dyDescent="0.3"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30" customHeight="1" x14ac:dyDescent="0.3">
      <c r="B18" s="30"/>
      <c r="C18" s="127" t="s">
        <v>178</v>
      </c>
      <c r="D18" s="127"/>
      <c r="E18" s="127"/>
      <c r="F18" s="30"/>
      <c r="G18" s="30"/>
      <c r="H18" s="30"/>
      <c r="I18" s="30"/>
      <c r="J18" s="30"/>
    </row>
    <row r="19" spans="1:11" ht="60.75" customHeight="1" x14ac:dyDescent="0.3">
      <c r="A19" s="127" t="s">
        <v>61</v>
      </c>
      <c r="B19" s="127"/>
      <c r="C19" s="148" t="s">
        <v>115</v>
      </c>
      <c r="D19" s="150"/>
      <c r="E19" s="22" t="s">
        <v>179</v>
      </c>
      <c r="F19" s="60" t="s">
        <v>2</v>
      </c>
      <c r="G19" s="60" t="s">
        <v>117</v>
      </c>
      <c r="H19" s="61"/>
      <c r="I19" s="61"/>
      <c r="J19" s="61"/>
      <c r="K19" s="67"/>
    </row>
    <row r="20" spans="1:11" ht="33" customHeight="1" x14ac:dyDescent="0.3">
      <c r="A20" s="22"/>
      <c r="B20" s="69">
        <f>'BAREME 2024 TABLEAU  '!B3</f>
        <v>364.17</v>
      </c>
      <c r="D20" s="88">
        <f>B20+E20</f>
        <v>927.5</v>
      </c>
      <c r="E20" s="69">
        <f>ROUND(4*1690/12,2)</f>
        <v>563.33000000000004</v>
      </c>
      <c r="F20" s="25">
        <f>1/20</f>
        <v>0.05</v>
      </c>
      <c r="G20" s="25">
        <f>ROUND(D20*F20,2)</f>
        <v>46.38</v>
      </c>
      <c r="H20" s="70"/>
      <c r="I20" s="62"/>
      <c r="J20" s="62"/>
    </row>
    <row r="21" spans="1:11" ht="33" customHeight="1" x14ac:dyDescent="0.3">
      <c r="A21" s="63">
        <f>B20</f>
        <v>364.17</v>
      </c>
      <c r="B21" s="69">
        <f>'BAREME 2024 TABLEAU  '!B4</f>
        <v>710</v>
      </c>
      <c r="C21" s="88">
        <f>D20</f>
        <v>927.5</v>
      </c>
      <c r="D21" s="68">
        <f>B21+E21</f>
        <v>1273.33</v>
      </c>
      <c r="E21" s="69">
        <f>ROUND(4*1690/12,2)</f>
        <v>563.33000000000004</v>
      </c>
      <c r="F21" s="25">
        <v>0.1</v>
      </c>
      <c r="G21" s="25">
        <f>ROUND((D21-C21)*F21+G20,2)</f>
        <v>80.959999999999994</v>
      </c>
      <c r="H21" s="70"/>
      <c r="I21" s="62"/>
      <c r="J21" s="62"/>
    </row>
    <row r="22" spans="1:11" ht="33" customHeight="1" x14ac:dyDescent="0.3">
      <c r="A22" s="63">
        <f t="shared" ref="A22:A25" si="0">B21</f>
        <v>710</v>
      </c>
      <c r="B22" s="69">
        <f>'BAREME 2024 TABLEAU  '!B5</f>
        <v>1057.5</v>
      </c>
      <c r="C22" s="88">
        <f t="shared" ref="C22:C25" si="1">D21</f>
        <v>1273.33</v>
      </c>
      <c r="D22" s="68">
        <f t="shared" ref="D22:D25" si="2">B22+E22</f>
        <v>1620.83</v>
      </c>
      <c r="E22" s="69">
        <f>ROUND(4*1690/12,2)</f>
        <v>563.33000000000004</v>
      </c>
      <c r="F22" s="25">
        <v>0.2</v>
      </c>
      <c r="G22" s="25">
        <f t="shared" ref="G22:G25" si="3">ROUND((D22-C22)*F22+G21,2)</f>
        <v>150.46</v>
      </c>
      <c r="H22" s="70"/>
      <c r="I22" s="62"/>
      <c r="J22" s="62"/>
    </row>
    <row r="23" spans="1:11" ht="33" customHeight="1" x14ac:dyDescent="0.3">
      <c r="A23" s="63">
        <f t="shared" si="0"/>
        <v>1057.5</v>
      </c>
      <c r="B23" s="69">
        <f>'BAREME 2024 TABLEAU  '!B6</f>
        <v>1401.67</v>
      </c>
      <c r="C23" s="88">
        <f t="shared" si="1"/>
        <v>1620.83</v>
      </c>
      <c r="D23" s="68">
        <f t="shared" si="2"/>
        <v>1965</v>
      </c>
      <c r="E23" s="69">
        <f t="shared" ref="E23:E25" si="4">ROUND(4*1690/12,2)</f>
        <v>563.33000000000004</v>
      </c>
      <c r="F23" s="25">
        <v>0.25</v>
      </c>
      <c r="G23" s="25">
        <f t="shared" si="3"/>
        <v>236.5</v>
      </c>
      <c r="H23" s="70"/>
      <c r="I23" s="62"/>
      <c r="J23" s="62"/>
    </row>
    <row r="24" spans="1:11" ht="33" customHeight="1" x14ac:dyDescent="0.3">
      <c r="A24" s="63">
        <f t="shared" si="0"/>
        <v>1401.67</v>
      </c>
      <c r="B24" s="69">
        <f>'BAREME 2024 TABLEAU  '!B7</f>
        <v>1747.5</v>
      </c>
      <c r="C24" s="88">
        <f t="shared" si="1"/>
        <v>1965</v>
      </c>
      <c r="D24" s="68">
        <f t="shared" si="2"/>
        <v>2310.83</v>
      </c>
      <c r="E24" s="69">
        <f t="shared" si="4"/>
        <v>563.33000000000004</v>
      </c>
      <c r="F24" s="25">
        <v>0.33333333333333331</v>
      </c>
      <c r="G24" s="25">
        <f t="shared" si="3"/>
        <v>351.78</v>
      </c>
      <c r="H24" s="70"/>
      <c r="I24" s="62"/>
      <c r="J24" s="62"/>
    </row>
    <row r="25" spans="1:11" ht="33" customHeight="1" x14ac:dyDescent="0.3">
      <c r="A25" s="63">
        <f t="shared" si="0"/>
        <v>1747.5</v>
      </c>
      <c r="B25" s="69">
        <f>'BAREME 2024 TABLEAU  '!B8</f>
        <v>2100</v>
      </c>
      <c r="C25" s="88">
        <f t="shared" si="1"/>
        <v>2310.83</v>
      </c>
      <c r="D25" s="68">
        <f t="shared" si="2"/>
        <v>2663.33</v>
      </c>
      <c r="E25" s="69">
        <f t="shared" si="4"/>
        <v>563.33000000000004</v>
      </c>
      <c r="F25" s="25">
        <v>0.66666666666666663</v>
      </c>
      <c r="G25" s="25">
        <f t="shared" si="3"/>
        <v>586.78</v>
      </c>
      <c r="H25" s="70"/>
      <c r="I25" s="62"/>
      <c r="J25" s="62"/>
    </row>
    <row r="27" spans="1:11" x14ac:dyDescent="0.3">
      <c r="A27" s="166" t="s">
        <v>106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</row>
    <row r="28" spans="1:11" ht="9.75" customHeight="1" x14ac:dyDescent="0.3">
      <c r="A28" s="166"/>
      <c r="B28" s="166"/>
      <c r="C28" s="166"/>
      <c r="D28" s="166"/>
      <c r="E28" s="166"/>
      <c r="F28" s="166"/>
      <c r="G28" s="166"/>
      <c r="H28" s="166"/>
      <c r="I28" s="166"/>
      <c r="J28" s="166"/>
      <c r="K28" s="166"/>
    </row>
    <row r="29" spans="1:11" ht="31.5" hidden="1" customHeight="1" x14ac:dyDescent="0.3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ht="31.5" hidden="1" customHeight="1" x14ac:dyDescent="0.3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</row>
    <row r="31" spans="1:11" x14ac:dyDescent="0.3">
      <c r="A31" s="166"/>
      <c r="B31" s="166"/>
      <c r="C31" s="166"/>
      <c r="D31" s="166"/>
      <c r="E31" s="166"/>
      <c r="F31" s="166"/>
      <c r="G31" s="166"/>
      <c r="H31" s="166"/>
      <c r="I31" s="166"/>
      <c r="J31" s="166"/>
      <c r="K31" s="166"/>
    </row>
    <row r="32" spans="1:11" ht="15" hidden="1" customHeight="1" x14ac:dyDescent="0.3">
      <c r="A32" s="65" t="s">
        <v>105</v>
      </c>
    </row>
    <row r="33" spans="1:13" hidden="1" x14ac:dyDescent="0.3">
      <c r="B33" s="167" t="s">
        <v>46</v>
      </c>
      <c r="C33" s="167"/>
      <c r="D33" s="167"/>
      <c r="E33" s="167"/>
      <c r="F33" s="167"/>
      <c r="G33" s="167"/>
      <c r="H33" s="167"/>
      <c r="I33" s="167"/>
      <c r="J33" s="167"/>
      <c r="K33" s="167"/>
    </row>
    <row r="34" spans="1:13" hidden="1" x14ac:dyDescent="0.3">
      <c r="B34" s="30"/>
      <c r="C34" s="30"/>
      <c r="D34" s="30"/>
      <c r="E34" s="30"/>
      <c r="F34" s="30"/>
      <c r="G34" s="30"/>
      <c r="H34" s="30"/>
      <c r="I34" s="30"/>
      <c r="J34" s="30"/>
    </row>
    <row r="35" spans="1:13" ht="60.75" hidden="1" customHeight="1" x14ac:dyDescent="0.3">
      <c r="E35" s="22" t="s">
        <v>13</v>
      </c>
      <c r="F35" s="60" t="s">
        <v>53</v>
      </c>
      <c r="G35" s="60" t="s">
        <v>2</v>
      </c>
      <c r="H35" s="60" t="s">
        <v>47</v>
      </c>
      <c r="I35" s="22" t="s">
        <v>48</v>
      </c>
      <c r="J35" s="22" t="s">
        <v>49</v>
      </c>
      <c r="K35" s="22" t="s">
        <v>54</v>
      </c>
    </row>
    <row r="36" spans="1:13" hidden="1" x14ac:dyDescent="0.3">
      <c r="B36" s="31">
        <v>313.33</v>
      </c>
      <c r="C36" s="31"/>
      <c r="D36" s="31"/>
      <c r="E36" s="31"/>
      <c r="F36" s="32"/>
      <c r="G36" s="64">
        <f>1/20</f>
        <v>0.05</v>
      </c>
      <c r="H36" s="31">
        <f>ROUND(B36*G36,2)</f>
        <v>15.67</v>
      </c>
      <c r="I36" s="31">
        <f>ROUND(H36,2)</f>
        <v>15.67</v>
      </c>
      <c r="J36" s="31"/>
      <c r="K36" s="32"/>
    </row>
    <row r="37" spans="1:13" hidden="1" x14ac:dyDescent="0.3">
      <c r="B37" s="31">
        <v>611.66999999999996</v>
      </c>
      <c r="C37" s="31"/>
      <c r="D37" s="31"/>
      <c r="E37" s="31"/>
      <c r="F37" s="32"/>
      <c r="G37" s="64">
        <v>0.1</v>
      </c>
      <c r="H37" s="31">
        <f>ROUND((B37-B36)*G37,2)</f>
        <v>29.83</v>
      </c>
      <c r="I37" s="31">
        <f>I36+H37</f>
        <v>45.5</v>
      </c>
      <c r="J37" s="31"/>
      <c r="K37" s="32"/>
    </row>
    <row r="38" spans="1:13" hidden="1" x14ac:dyDescent="0.3">
      <c r="B38" s="31">
        <v>911.67</v>
      </c>
      <c r="C38" s="31"/>
      <c r="D38" s="31"/>
      <c r="E38" s="31"/>
      <c r="F38" s="32"/>
      <c r="G38" s="64">
        <v>0.2</v>
      </c>
      <c r="H38" s="31">
        <f>ROUND((B38-B37)*G38,2)</f>
        <v>60</v>
      </c>
      <c r="I38" s="31">
        <f t="shared" ref="I38:I41" si="5">I37+H38</f>
        <v>105.5</v>
      </c>
      <c r="J38" s="31"/>
      <c r="K38" s="32"/>
    </row>
    <row r="39" spans="1:13" hidden="1" x14ac:dyDescent="0.3">
      <c r="B39" s="31">
        <v>1210.83</v>
      </c>
      <c r="C39" s="31"/>
      <c r="D39" s="31"/>
      <c r="E39" s="31"/>
      <c r="F39" s="32"/>
      <c r="G39" s="64">
        <v>0.25</v>
      </c>
      <c r="H39" s="31">
        <f>ROUND((B39-B38)*G39,2)</f>
        <v>74.790000000000006</v>
      </c>
      <c r="I39" s="31">
        <f t="shared" si="5"/>
        <v>180.29000000000002</v>
      </c>
      <c r="J39" s="31"/>
      <c r="K39" s="32"/>
    </row>
    <row r="40" spans="1:13" hidden="1" x14ac:dyDescent="0.3">
      <c r="B40" s="31">
        <v>1509.17</v>
      </c>
      <c r="C40" s="31"/>
      <c r="D40" s="31"/>
      <c r="E40" s="31"/>
      <c r="F40" s="32"/>
      <c r="G40" s="64">
        <v>0.33333333333333331</v>
      </c>
      <c r="H40" s="31">
        <f>ROUND((B40-B39)*G40,2)</f>
        <v>99.45</v>
      </c>
      <c r="I40" s="31">
        <f t="shared" si="5"/>
        <v>279.74</v>
      </c>
      <c r="J40" s="31"/>
      <c r="K40" s="32"/>
    </row>
    <row r="41" spans="1:13" hidden="1" x14ac:dyDescent="0.3">
      <c r="B41" s="31">
        <v>1813.33</v>
      </c>
      <c r="C41" s="31"/>
      <c r="D41" s="31"/>
      <c r="E41" s="31"/>
      <c r="F41" s="32"/>
      <c r="G41" s="64">
        <v>0.66666666666666663</v>
      </c>
      <c r="H41" s="31">
        <f>ROUND((B41-B40)*G41,2)</f>
        <v>202.77</v>
      </c>
      <c r="I41" s="31">
        <f t="shared" si="5"/>
        <v>482.51</v>
      </c>
      <c r="J41" s="31"/>
      <c r="K41" s="32"/>
    </row>
    <row r="42" spans="1:13" ht="28.8" customHeight="1" x14ac:dyDescent="0.3">
      <c r="B42" s="62"/>
      <c r="C42" s="172" t="s">
        <v>174</v>
      </c>
      <c r="D42" s="172"/>
      <c r="E42" s="172"/>
      <c r="F42" s="172"/>
      <c r="G42" s="172"/>
      <c r="H42" s="62"/>
      <c r="I42" s="163" t="s">
        <v>175</v>
      </c>
      <c r="J42" s="163"/>
      <c r="K42" s="163"/>
      <c r="L42" s="163"/>
      <c r="M42" s="163"/>
    </row>
    <row r="43" spans="1:13" x14ac:dyDescent="0.3">
      <c r="B43" s="62"/>
      <c r="C43" s="62"/>
      <c r="D43" s="62"/>
      <c r="E43" s="62"/>
      <c r="F43" s="70"/>
      <c r="G43" s="90"/>
      <c r="H43" s="62"/>
      <c r="I43" s="62"/>
      <c r="J43" s="62"/>
      <c r="K43" s="70"/>
    </row>
    <row r="44" spans="1:13" x14ac:dyDescent="0.3">
      <c r="A44" s="21" t="s">
        <v>159</v>
      </c>
      <c r="B44" s="62"/>
      <c r="D44" s="62">
        <v>607.75</v>
      </c>
      <c r="E44" s="62"/>
      <c r="F44" s="70"/>
      <c r="G44" s="90"/>
      <c r="H44" s="62"/>
      <c r="J44" s="62"/>
      <c r="K44" s="62">
        <v>635.70000000000005</v>
      </c>
    </row>
    <row r="45" spans="1:13" x14ac:dyDescent="0.3">
      <c r="A45" s="21" t="s">
        <v>160</v>
      </c>
      <c r="B45" s="62"/>
      <c r="C45" s="62"/>
      <c r="D45" s="62"/>
      <c r="F45" s="70"/>
      <c r="G45" s="62" t="s">
        <v>159</v>
      </c>
      <c r="H45" s="62"/>
      <c r="I45" s="126" t="s">
        <v>160</v>
      </c>
      <c r="J45" s="126"/>
      <c r="K45" s="70"/>
      <c r="M45" s="21" t="s">
        <v>159</v>
      </c>
    </row>
    <row r="46" spans="1:13" ht="22.2" customHeight="1" x14ac:dyDescent="0.3">
      <c r="A46" s="125" t="s">
        <v>107</v>
      </c>
      <c r="B46" s="125"/>
      <c r="C46" s="61">
        <v>911.63</v>
      </c>
      <c r="D46" s="21" t="s">
        <v>161</v>
      </c>
      <c r="G46" s="43">
        <f>D44</f>
        <v>607.75</v>
      </c>
      <c r="I46" s="125" t="s">
        <v>107</v>
      </c>
      <c r="J46" s="125"/>
      <c r="K46" s="21">
        <v>953.56</v>
      </c>
      <c r="M46" s="43">
        <f>K44</f>
        <v>635.70000000000005</v>
      </c>
    </row>
    <row r="47" spans="1:13" ht="22.2" customHeight="1" x14ac:dyDescent="0.3">
      <c r="A47" s="125" t="s">
        <v>108</v>
      </c>
      <c r="B47" s="125"/>
      <c r="C47" s="61">
        <v>1093.96</v>
      </c>
      <c r="G47" s="21">
        <f>+C46</f>
        <v>911.63</v>
      </c>
      <c r="I47" s="125" t="s">
        <v>108</v>
      </c>
      <c r="J47" s="125"/>
      <c r="K47" s="21">
        <v>1144.28</v>
      </c>
      <c r="M47" s="21">
        <f>K46</f>
        <v>953.56</v>
      </c>
    </row>
    <row r="48" spans="1:13" ht="22.2" customHeight="1" x14ac:dyDescent="0.3">
      <c r="A48" s="125" t="s">
        <v>109</v>
      </c>
      <c r="B48" s="125"/>
      <c r="C48" s="61">
        <v>1276.79</v>
      </c>
      <c r="G48" s="21">
        <f>+C47</f>
        <v>1093.96</v>
      </c>
      <c r="I48" s="125" t="s">
        <v>109</v>
      </c>
      <c r="J48" s="125"/>
      <c r="K48" s="21">
        <v>1334.99</v>
      </c>
      <c r="M48" s="21">
        <f>K47</f>
        <v>1144.28</v>
      </c>
    </row>
    <row r="49" spans="1:13" ht="22.2" customHeight="1" x14ac:dyDescent="0.3">
      <c r="A49" s="125" t="s">
        <v>111</v>
      </c>
      <c r="B49" s="125"/>
      <c r="C49" s="61">
        <v>1519.39</v>
      </c>
      <c r="G49" s="21">
        <v>1337.06</v>
      </c>
      <c r="I49" s="125" t="s">
        <v>110</v>
      </c>
      <c r="J49" s="125"/>
      <c r="K49" s="21">
        <v>254.28</v>
      </c>
      <c r="M49" s="21">
        <f>K49</f>
        <v>254.28</v>
      </c>
    </row>
    <row r="50" spans="1:13" ht="22.2" customHeight="1" x14ac:dyDescent="0.3">
      <c r="A50" s="125" t="s">
        <v>110</v>
      </c>
      <c r="B50" s="125"/>
      <c r="C50" s="61">
        <v>243.1</v>
      </c>
      <c r="G50" s="21">
        <v>243.1</v>
      </c>
    </row>
    <row r="51" spans="1:13" ht="21.6" customHeight="1" x14ac:dyDescent="0.3">
      <c r="A51" s="65"/>
    </row>
    <row r="52" spans="1:13" x14ac:dyDescent="0.3">
      <c r="A52" s="21" t="s">
        <v>22</v>
      </c>
      <c r="E52" s="100">
        <v>2200</v>
      </c>
    </row>
    <row r="54" spans="1:13" x14ac:dyDescent="0.3">
      <c r="A54" s="21" t="s">
        <v>23</v>
      </c>
    </row>
    <row r="55" spans="1:13" ht="22.2" customHeight="1" x14ac:dyDescent="0.3">
      <c r="B55" s="21" t="s">
        <v>51</v>
      </c>
      <c r="J55" s="53">
        <f>D23</f>
        <v>1965</v>
      </c>
    </row>
    <row r="56" spans="1:13" ht="22.2" customHeight="1" x14ac:dyDescent="0.3">
      <c r="B56" s="21" t="s">
        <v>118</v>
      </c>
      <c r="J56" s="94">
        <f>G23</f>
        <v>236.5</v>
      </c>
    </row>
    <row r="57" spans="1:13" ht="22.2" customHeight="1" x14ac:dyDescent="0.3">
      <c r="B57" s="21" t="s">
        <v>52</v>
      </c>
      <c r="J57" s="31">
        <f>J55</f>
        <v>1965</v>
      </c>
    </row>
    <row r="58" spans="1:13" ht="22.2" customHeight="1" x14ac:dyDescent="0.3">
      <c r="J58" s="31">
        <f>E52</f>
        <v>2200</v>
      </c>
    </row>
    <row r="59" spans="1:13" ht="22.2" customHeight="1" x14ac:dyDescent="0.3">
      <c r="J59" s="31">
        <f>J58-J57</f>
        <v>235</v>
      </c>
    </row>
    <row r="60" spans="1:13" ht="22.2" customHeight="1" x14ac:dyDescent="0.3">
      <c r="H60" s="162" t="s">
        <v>24</v>
      </c>
      <c r="I60" s="162"/>
      <c r="J60" s="31">
        <f>F24</f>
        <v>0.33333333333333331</v>
      </c>
    </row>
    <row r="61" spans="1:13" ht="22.8" customHeight="1" x14ac:dyDescent="0.3">
      <c r="J61" s="96">
        <f>J59*J60</f>
        <v>78.333333333333329</v>
      </c>
    </row>
    <row r="62" spans="1:13" ht="17.399999999999999" customHeight="1" x14ac:dyDescent="0.3">
      <c r="J62" s="30"/>
    </row>
    <row r="63" spans="1:13" ht="22.8" customHeight="1" x14ac:dyDescent="0.3">
      <c r="E63" s="152" t="s">
        <v>197</v>
      </c>
      <c r="F63" s="152"/>
      <c r="G63" s="152"/>
      <c r="H63" s="152"/>
      <c r="I63" s="153"/>
      <c r="J63" s="96">
        <f>J56+J61</f>
        <v>314.83333333333331</v>
      </c>
    </row>
    <row r="64" spans="1:13" ht="16.8" customHeight="1" x14ac:dyDescent="0.3">
      <c r="J64" s="30"/>
    </row>
    <row r="65" spans="1:12" ht="29.25" customHeight="1" x14ac:dyDescent="0.3">
      <c r="A65" s="127" t="s">
        <v>122</v>
      </c>
      <c r="B65" s="127"/>
      <c r="C65" s="127"/>
      <c r="D65" s="127"/>
      <c r="J65" s="59"/>
    </row>
    <row r="66" spans="1:12" ht="29.25" customHeight="1" x14ac:dyDescent="0.3">
      <c r="A66" s="61"/>
      <c r="B66" s="61"/>
      <c r="C66" s="61"/>
      <c r="D66" s="61"/>
      <c r="J66" s="59"/>
    </row>
    <row r="67" spans="1:12" x14ac:dyDescent="0.3">
      <c r="A67" s="156" t="s">
        <v>180</v>
      </c>
      <c r="B67" s="156"/>
      <c r="C67" s="156"/>
      <c r="E67" s="156" t="s">
        <v>181</v>
      </c>
      <c r="F67" s="156"/>
    </row>
    <row r="68" spans="1:12" ht="29.25" customHeight="1" x14ac:dyDescent="0.3">
      <c r="A68" s="22" t="s">
        <v>27</v>
      </c>
      <c r="B68" s="25">
        <f>C49</f>
        <v>1519.39</v>
      </c>
      <c r="C68" s="157" t="s">
        <v>186</v>
      </c>
      <c r="D68" s="62"/>
      <c r="E68" s="25">
        <f>K48+K49</f>
        <v>1589.27</v>
      </c>
      <c r="F68" s="157" t="s">
        <v>186</v>
      </c>
    </row>
    <row r="69" spans="1:12" ht="29.25" customHeight="1" x14ac:dyDescent="0.3">
      <c r="A69" s="22" t="s">
        <v>28</v>
      </c>
      <c r="B69" s="25">
        <f>J63</f>
        <v>314.83333333333331</v>
      </c>
      <c r="C69" s="157"/>
      <c r="D69" s="62"/>
      <c r="E69" s="25">
        <f>J63</f>
        <v>314.83333333333331</v>
      </c>
      <c r="F69" s="157"/>
    </row>
    <row r="70" spans="1:12" ht="29.25" customHeight="1" x14ac:dyDescent="0.3">
      <c r="A70" s="134" t="s">
        <v>50</v>
      </c>
      <c r="B70" s="158">
        <f>2200-B68-B69</f>
        <v>365.77666666666659</v>
      </c>
      <c r="C70" s="157"/>
      <c r="D70" s="62"/>
      <c r="E70" s="158">
        <f>2200-E69-(K48+K49)</f>
        <v>295.89666666666676</v>
      </c>
      <c r="F70" s="157"/>
    </row>
    <row r="71" spans="1:12" ht="29.25" customHeight="1" x14ac:dyDescent="0.3">
      <c r="A71" s="135"/>
      <c r="B71" s="159"/>
      <c r="C71" s="157"/>
      <c r="D71" s="62"/>
      <c r="E71" s="159"/>
      <c r="F71" s="157"/>
    </row>
    <row r="72" spans="1:12" ht="34.200000000000003" customHeight="1" x14ac:dyDescent="0.3">
      <c r="B72" s="25">
        <f>SUM(B68:B71)</f>
        <v>2200</v>
      </c>
      <c r="E72" s="25">
        <f>SUM(E68:E71)</f>
        <v>2200</v>
      </c>
    </row>
    <row r="73" spans="1:12" ht="21.75" customHeight="1" x14ac:dyDescent="0.3">
      <c r="A73" s="21" t="s">
        <v>182</v>
      </c>
    </row>
    <row r="74" spans="1:12" ht="21.75" customHeight="1" x14ac:dyDescent="0.3">
      <c r="A74" s="21" t="s">
        <v>30</v>
      </c>
      <c r="B74" s="21" t="s">
        <v>183</v>
      </c>
    </row>
    <row r="75" spans="1:12" ht="21.75" customHeight="1" x14ac:dyDescent="0.3">
      <c r="A75" s="21" t="s">
        <v>33</v>
      </c>
    </row>
    <row r="76" spans="1:12" ht="21.75" customHeight="1" x14ac:dyDescent="0.3">
      <c r="D76" s="98" t="s">
        <v>119</v>
      </c>
      <c r="E76" s="98" t="s">
        <v>120</v>
      </c>
      <c r="F76" s="98" t="s">
        <v>121</v>
      </c>
      <c r="G76" s="99" t="s">
        <v>195</v>
      </c>
      <c r="H76" s="99" t="s">
        <v>196</v>
      </c>
      <c r="K76" s="55"/>
      <c r="L76" s="55"/>
    </row>
    <row r="77" spans="1:12" ht="16.8" customHeight="1" x14ac:dyDescent="0.3">
      <c r="A77" s="127" t="s">
        <v>92</v>
      </c>
      <c r="B77" s="127"/>
      <c r="C77" s="127"/>
      <c r="D77" s="25">
        <f>500</f>
        <v>500</v>
      </c>
      <c r="E77" s="25">
        <v>500</v>
      </c>
      <c r="F77" s="25">
        <v>500</v>
      </c>
      <c r="G77" s="25">
        <v>500</v>
      </c>
      <c r="H77" s="22">
        <v>500</v>
      </c>
      <c r="K77" s="55"/>
      <c r="L77" s="55"/>
    </row>
    <row r="78" spans="1:12" ht="16.8" customHeight="1" x14ac:dyDescent="0.3">
      <c r="A78" s="127" t="s">
        <v>50</v>
      </c>
      <c r="B78" s="127"/>
      <c r="C78" s="127"/>
      <c r="D78" s="25">
        <f>-B70</f>
        <v>-365.77666666666659</v>
      </c>
      <c r="E78" s="25">
        <f>-B70</f>
        <v>-365.77666666666659</v>
      </c>
      <c r="F78" s="25">
        <f t="shared" ref="F78:F83" si="6">E78</f>
        <v>-365.77666666666659</v>
      </c>
      <c r="G78" s="68">
        <f>-E70</f>
        <v>-295.89666666666676</v>
      </c>
      <c r="H78" s="63">
        <f>G78</f>
        <v>-295.89666666666676</v>
      </c>
      <c r="K78" s="55"/>
      <c r="L78" s="55"/>
    </row>
    <row r="79" spans="1:12" ht="16.8" customHeight="1" x14ac:dyDescent="0.3">
      <c r="A79" s="127" t="s">
        <v>192</v>
      </c>
      <c r="B79" s="127"/>
      <c r="C79" s="127"/>
      <c r="D79" s="25">
        <f>D77+D78</f>
        <v>134.22333333333341</v>
      </c>
      <c r="E79" s="25">
        <f>E77+E78</f>
        <v>134.22333333333341</v>
      </c>
      <c r="F79" s="25">
        <f t="shared" si="6"/>
        <v>134.22333333333341</v>
      </c>
      <c r="G79" s="25">
        <f>G77+G78</f>
        <v>204.10333333333324</v>
      </c>
      <c r="H79" s="25">
        <f>H77+H78</f>
        <v>204.10333333333324</v>
      </c>
      <c r="K79" s="55"/>
      <c r="L79" s="55"/>
    </row>
    <row r="80" spans="1:12" ht="16.8" customHeight="1" x14ac:dyDescent="0.3">
      <c r="A80" s="127" t="s">
        <v>184</v>
      </c>
      <c r="B80" s="127"/>
      <c r="C80" s="127"/>
      <c r="D80" s="25">
        <f>B69</f>
        <v>314.83333333333331</v>
      </c>
      <c r="E80" s="25">
        <f>B69</f>
        <v>314.83333333333331</v>
      </c>
      <c r="F80" s="25">
        <f t="shared" si="6"/>
        <v>314.83333333333331</v>
      </c>
      <c r="G80" s="25">
        <f>E69</f>
        <v>314.83333333333331</v>
      </c>
      <c r="H80" s="25">
        <f>G80</f>
        <v>314.83333333333331</v>
      </c>
      <c r="K80" s="55"/>
      <c r="L80" s="55"/>
    </row>
    <row r="81" spans="1:12" ht="28.2" customHeight="1" x14ac:dyDescent="0.3">
      <c r="A81" s="127" t="s">
        <v>193</v>
      </c>
      <c r="B81" s="127"/>
      <c r="C81" s="127"/>
      <c r="D81" s="25">
        <f>D79</f>
        <v>134.22333333333341</v>
      </c>
      <c r="E81" s="25">
        <f>E79</f>
        <v>134.22333333333341</v>
      </c>
      <c r="F81" s="25">
        <f t="shared" si="6"/>
        <v>134.22333333333341</v>
      </c>
      <c r="G81" s="25">
        <f>G79</f>
        <v>204.10333333333324</v>
      </c>
      <c r="H81" s="25">
        <f>H79</f>
        <v>204.10333333333324</v>
      </c>
      <c r="K81" s="55"/>
      <c r="L81" s="55"/>
    </row>
    <row r="82" spans="1:12" ht="16.8" customHeight="1" x14ac:dyDescent="0.3">
      <c r="A82" s="127" t="s">
        <v>191</v>
      </c>
      <c r="B82" s="127"/>
      <c r="C82" s="127"/>
      <c r="D82" s="25">
        <f>D79-D78</f>
        <v>500</v>
      </c>
      <c r="E82" s="25">
        <f>E81-E78</f>
        <v>500</v>
      </c>
      <c r="F82" s="25">
        <f t="shared" si="6"/>
        <v>500</v>
      </c>
      <c r="G82" s="25">
        <f>G81-G78</f>
        <v>500</v>
      </c>
      <c r="H82" s="25">
        <f>H81-H78</f>
        <v>500</v>
      </c>
      <c r="K82" s="55"/>
      <c r="L82" s="55"/>
    </row>
    <row r="83" spans="1:12" ht="16.8" customHeight="1" x14ac:dyDescent="0.3">
      <c r="A83" s="127" t="s">
        <v>187</v>
      </c>
      <c r="B83" s="127"/>
      <c r="C83" s="127"/>
      <c r="D83" s="25">
        <f>D80-D79</f>
        <v>180.6099999999999</v>
      </c>
      <c r="E83" s="25">
        <f>E80-E79</f>
        <v>180.6099999999999</v>
      </c>
      <c r="F83" s="25">
        <f t="shared" si="6"/>
        <v>180.6099999999999</v>
      </c>
      <c r="G83" s="25">
        <f>G80-G81</f>
        <v>110.73000000000008</v>
      </c>
      <c r="H83" s="25">
        <f>H80-H79</f>
        <v>110.73000000000008</v>
      </c>
      <c r="K83" s="55"/>
      <c r="L83" s="55"/>
    </row>
    <row r="84" spans="1:12" ht="16.8" customHeight="1" x14ac:dyDescent="0.3">
      <c r="A84" s="127" t="s">
        <v>87</v>
      </c>
      <c r="B84" s="127"/>
      <c r="C84" s="127"/>
      <c r="D84" s="25">
        <v>400</v>
      </c>
      <c r="E84" s="25">
        <f>D86</f>
        <v>219.3900000000001</v>
      </c>
      <c r="F84" s="25">
        <f>E86</f>
        <v>38.7800000000002</v>
      </c>
      <c r="G84" s="25"/>
      <c r="H84" s="25"/>
      <c r="K84" s="55"/>
      <c r="L84" s="55"/>
    </row>
    <row r="85" spans="1:12" ht="16.8" customHeight="1" x14ac:dyDescent="0.3">
      <c r="A85" s="148" t="s">
        <v>194</v>
      </c>
      <c r="B85" s="149"/>
      <c r="C85" s="150"/>
      <c r="D85" s="25">
        <f>D83</f>
        <v>180.6099999999999</v>
      </c>
      <c r="E85" s="25">
        <f>E83</f>
        <v>180.6099999999999</v>
      </c>
      <c r="F85" s="25">
        <f>F84</f>
        <v>38.7800000000002</v>
      </c>
      <c r="G85" s="25"/>
      <c r="H85" s="25"/>
      <c r="K85" s="55"/>
      <c r="L85" s="55"/>
    </row>
    <row r="86" spans="1:12" ht="16.8" customHeight="1" x14ac:dyDescent="0.3">
      <c r="A86" s="127" t="s">
        <v>188</v>
      </c>
      <c r="B86" s="127"/>
      <c r="C86" s="127"/>
      <c r="D86" s="25">
        <f>D84-D83</f>
        <v>219.3900000000001</v>
      </c>
      <c r="E86" s="25">
        <f>E84-E85</f>
        <v>38.7800000000002</v>
      </c>
      <c r="F86" s="25"/>
      <c r="G86" s="25"/>
      <c r="H86" s="25"/>
      <c r="K86" s="55"/>
      <c r="L86" s="55"/>
    </row>
    <row r="87" spans="1:12" ht="16.8" customHeight="1" x14ac:dyDescent="0.3">
      <c r="A87" s="127" t="s">
        <v>190</v>
      </c>
      <c r="B87" s="127"/>
      <c r="C87" s="127"/>
      <c r="D87" s="25"/>
      <c r="E87" s="25"/>
      <c r="F87" s="25">
        <f>F83-F85</f>
        <v>141.8299999999997</v>
      </c>
      <c r="G87" s="25">
        <f>G83</f>
        <v>110.73000000000008</v>
      </c>
      <c r="H87" s="25">
        <f>H83</f>
        <v>110.73000000000008</v>
      </c>
      <c r="K87" s="55"/>
      <c r="L87" s="55"/>
    </row>
    <row r="88" spans="1:12" ht="16.8" customHeight="1" x14ac:dyDescent="0.3">
      <c r="A88" s="127" t="s">
        <v>189</v>
      </c>
      <c r="B88" s="127"/>
      <c r="C88" s="127"/>
      <c r="D88" s="108">
        <v>4000</v>
      </c>
      <c r="E88" s="108">
        <f>D88-E87</f>
        <v>4000</v>
      </c>
      <c r="F88" s="108">
        <f>E88-F87</f>
        <v>3858.17</v>
      </c>
      <c r="G88" s="25">
        <f>F88-G87</f>
        <v>3747.44</v>
      </c>
      <c r="H88" s="25">
        <f>G88-H87</f>
        <v>3636.71</v>
      </c>
      <c r="K88" s="55"/>
      <c r="L88" s="55"/>
    </row>
    <row r="89" spans="1:12" ht="21.75" customHeight="1" x14ac:dyDescent="0.3">
      <c r="K89" s="55"/>
      <c r="L89" s="55"/>
    </row>
    <row r="91" spans="1:12" s="103" customFormat="1" hidden="1" x14ac:dyDescent="0.3">
      <c r="A91" s="103" t="s">
        <v>125</v>
      </c>
    </row>
    <row r="92" spans="1:12" s="103" customFormat="1" hidden="1" x14ac:dyDescent="0.3"/>
    <row r="93" spans="1:12" s="103" customFormat="1" hidden="1" x14ac:dyDescent="0.3">
      <c r="B93" s="103" t="s">
        <v>127</v>
      </c>
      <c r="F93" s="102"/>
    </row>
    <row r="94" spans="1:12" s="103" customFormat="1" hidden="1" x14ac:dyDescent="0.3">
      <c r="B94" s="103" t="s">
        <v>123</v>
      </c>
    </row>
    <row r="95" spans="1:12" s="103" customFormat="1" hidden="1" x14ac:dyDescent="0.3">
      <c r="B95" s="103" t="s">
        <v>124</v>
      </c>
    </row>
    <row r="96" spans="1:12" s="103" customFormat="1" hidden="1" x14ac:dyDescent="0.3"/>
    <row r="97" spans="1:7" s="103" customFormat="1" hidden="1" x14ac:dyDescent="0.3">
      <c r="B97" s="103" t="s">
        <v>11</v>
      </c>
      <c r="C97" s="103">
        <v>2000</v>
      </c>
    </row>
    <row r="98" spans="1:7" s="103" customFormat="1" hidden="1" x14ac:dyDescent="0.3">
      <c r="B98" s="103" t="s">
        <v>93</v>
      </c>
      <c r="C98" s="103">
        <v>458.96</v>
      </c>
    </row>
    <row r="99" spans="1:7" s="103" customFormat="1" hidden="1" x14ac:dyDescent="0.3">
      <c r="B99" s="103" t="s">
        <v>27</v>
      </c>
      <c r="C99" s="103">
        <v>607.75</v>
      </c>
    </row>
    <row r="100" spans="1:7" s="103" customFormat="1" hidden="1" x14ac:dyDescent="0.3"/>
    <row r="101" spans="1:7" s="103" customFormat="1" hidden="1" x14ac:dyDescent="0.3"/>
    <row r="102" spans="1:7" s="103" customFormat="1" hidden="1" x14ac:dyDescent="0.3">
      <c r="A102" s="103" t="s">
        <v>126</v>
      </c>
    </row>
    <row r="103" spans="1:7" s="103" customFormat="1" hidden="1" x14ac:dyDescent="0.3"/>
    <row r="104" spans="1:7" s="103" customFormat="1" hidden="1" x14ac:dyDescent="0.3">
      <c r="B104" s="103">
        <v>2000</v>
      </c>
    </row>
    <row r="105" spans="1:7" s="103" customFormat="1" hidden="1" x14ac:dyDescent="0.3">
      <c r="B105" s="103">
        <f>-C98</f>
        <v>-458.96</v>
      </c>
    </row>
    <row r="106" spans="1:7" s="103" customFormat="1" hidden="1" x14ac:dyDescent="0.3">
      <c r="B106" s="103">
        <f>-C99</f>
        <v>-607.75</v>
      </c>
    </row>
    <row r="107" spans="1:7" s="103" customFormat="1" hidden="1" x14ac:dyDescent="0.3">
      <c r="B107" s="104">
        <f>SUM(B104:B106)</f>
        <v>933.29</v>
      </c>
    </row>
    <row r="108" spans="1:7" s="103" customFormat="1" hidden="1" x14ac:dyDescent="0.3"/>
    <row r="109" spans="1:7" s="103" customFormat="1" hidden="1" x14ac:dyDescent="0.3">
      <c r="C109" s="103" t="s">
        <v>130</v>
      </c>
    </row>
    <row r="110" spans="1:7" s="103" customFormat="1" hidden="1" x14ac:dyDescent="0.3"/>
    <row r="111" spans="1:7" s="103" customFormat="1" hidden="1" x14ac:dyDescent="0.3">
      <c r="D111" s="103" t="s">
        <v>128</v>
      </c>
      <c r="G111" s="103">
        <f>B107</f>
        <v>933.29</v>
      </c>
    </row>
    <row r="112" spans="1:7" s="103" customFormat="1" hidden="1" x14ac:dyDescent="0.3">
      <c r="D112" s="103" t="s">
        <v>129</v>
      </c>
      <c r="G112" s="103">
        <f>1000-G111</f>
        <v>66.710000000000036</v>
      </c>
    </row>
    <row r="113" spans="1:10" s="103" customFormat="1" hidden="1" x14ac:dyDescent="0.3">
      <c r="G113" s="103">
        <f>SUM(G111:G112)</f>
        <v>1000</v>
      </c>
    </row>
    <row r="114" spans="1:10" s="103" customFormat="1" hidden="1" x14ac:dyDescent="0.3"/>
    <row r="115" spans="1:10" hidden="1" x14ac:dyDescent="0.3">
      <c r="A115" s="101"/>
      <c r="B115" s="101"/>
      <c r="C115" s="101" t="s">
        <v>131</v>
      </c>
      <c r="D115" s="101"/>
      <c r="E115" s="101"/>
      <c r="F115" s="101"/>
      <c r="G115" s="101"/>
      <c r="H115" s="101"/>
      <c r="I115" s="101"/>
      <c r="J115" s="101"/>
    </row>
    <row r="116" spans="1:10" hidden="1" x14ac:dyDescent="0.3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</row>
    <row r="117" spans="1:10" hidden="1" x14ac:dyDescent="0.3">
      <c r="A117" s="101"/>
      <c r="B117" s="101"/>
      <c r="C117" s="101"/>
      <c r="D117" s="101"/>
      <c r="E117" s="101"/>
      <c r="F117" s="101"/>
      <c r="G117" s="101">
        <f>-B105-G112</f>
        <v>392.24999999999994</v>
      </c>
      <c r="H117" s="101"/>
      <c r="I117" s="101"/>
      <c r="J117" s="101"/>
    </row>
    <row r="118" spans="1:10" hidden="1" x14ac:dyDescent="0.3">
      <c r="A118" s="101"/>
      <c r="B118" s="101"/>
      <c r="C118" s="101"/>
      <c r="D118" s="101" t="s">
        <v>132</v>
      </c>
      <c r="E118" s="101"/>
      <c r="F118" s="101"/>
      <c r="G118" s="101">
        <f>1000-G117</f>
        <v>607.75</v>
      </c>
      <c r="H118" s="101"/>
      <c r="I118" s="101"/>
      <c r="J118" s="101"/>
    </row>
    <row r="119" spans="1:10" hidden="1" x14ac:dyDescent="0.3">
      <c r="A119" s="101"/>
      <c r="B119" s="101"/>
      <c r="C119" s="101"/>
      <c r="D119" s="101"/>
      <c r="E119" s="101"/>
      <c r="F119" s="101"/>
      <c r="G119" s="101"/>
      <c r="H119" s="101"/>
      <c r="I119" s="101"/>
      <c r="J119" s="101"/>
    </row>
    <row r="120" spans="1:10" hidden="1" x14ac:dyDescent="0.3">
      <c r="A120" s="101"/>
      <c r="B120" s="101"/>
      <c r="C120" s="101" t="s">
        <v>133</v>
      </c>
      <c r="D120" s="101"/>
      <c r="E120" s="101"/>
      <c r="F120" s="101"/>
      <c r="G120" s="101"/>
      <c r="H120" s="101"/>
      <c r="I120" s="101"/>
      <c r="J120" s="101"/>
    </row>
    <row r="122" spans="1:10" hidden="1" x14ac:dyDescent="0.3">
      <c r="E122" s="21">
        <v>2000</v>
      </c>
    </row>
    <row r="123" spans="1:10" hidden="1" x14ac:dyDescent="0.3">
      <c r="E123" s="21">
        <f>-1000</f>
        <v>-1000</v>
      </c>
    </row>
    <row r="124" spans="1:10" hidden="1" x14ac:dyDescent="0.3">
      <c r="E124" s="21">
        <f>-G117</f>
        <v>-392.24999999999994</v>
      </c>
    </row>
    <row r="125" spans="1:10" hidden="1" x14ac:dyDescent="0.3">
      <c r="E125" s="42">
        <f>SUM(E122:E124)</f>
        <v>607.75</v>
      </c>
      <c r="G125" s="21" t="s">
        <v>134</v>
      </c>
    </row>
    <row r="126" spans="1:10" hidden="1" x14ac:dyDescent="0.3"/>
  </sheetData>
  <mergeCells count="40">
    <mergeCell ref="A83:C83"/>
    <mergeCell ref="A84:C84"/>
    <mergeCell ref="A86:C86"/>
    <mergeCell ref="A87:C87"/>
    <mergeCell ref="A88:C88"/>
    <mergeCell ref="A85:C85"/>
    <mergeCell ref="A77:C77"/>
    <mergeCell ref="A78:C78"/>
    <mergeCell ref="A79:C79"/>
    <mergeCell ref="A80:C80"/>
    <mergeCell ref="A82:C82"/>
    <mergeCell ref="A81:C81"/>
    <mergeCell ref="I45:J45"/>
    <mergeCell ref="I42:M42"/>
    <mergeCell ref="I46:J46"/>
    <mergeCell ref="I47:J47"/>
    <mergeCell ref="F68:F71"/>
    <mergeCell ref="E67:F67"/>
    <mergeCell ref="I48:J48"/>
    <mergeCell ref="I49:J49"/>
    <mergeCell ref="H60:I60"/>
    <mergeCell ref="C42:G42"/>
    <mergeCell ref="E63:I63"/>
    <mergeCell ref="A65:D65"/>
    <mergeCell ref="C68:C71"/>
    <mergeCell ref="A70:A71"/>
    <mergeCell ref="B70:B71"/>
    <mergeCell ref="E70:E71"/>
    <mergeCell ref="A67:C67"/>
    <mergeCell ref="A46:B46"/>
    <mergeCell ref="A47:B47"/>
    <mergeCell ref="A48:B48"/>
    <mergeCell ref="A49:B49"/>
    <mergeCell ref="A50:B50"/>
    <mergeCell ref="B33:K33"/>
    <mergeCell ref="B16:K16"/>
    <mergeCell ref="C18:E18"/>
    <mergeCell ref="A19:B19"/>
    <mergeCell ref="C19:D19"/>
    <mergeCell ref="A27:K3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4294967293" verticalDpi="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9024D-BD1F-47A7-A219-7D625842F92B}">
  <dimension ref="A1:M62"/>
  <sheetViews>
    <sheetView tabSelected="1" topLeftCell="A29" workbookViewId="0">
      <selection activeCell="M35" sqref="M35:M40"/>
    </sheetView>
  </sheetViews>
  <sheetFormatPr baseColWidth="10" defaultColWidth="11.44140625" defaultRowHeight="15.6" x14ac:dyDescent="0.3"/>
  <cols>
    <col min="1" max="1" width="11.44140625" style="21"/>
    <col min="2" max="7" width="13.77734375" style="21" customWidth="1"/>
    <col min="8" max="8" width="11.44140625" style="21"/>
    <col min="9" max="9" width="8.5546875" style="21" customWidth="1"/>
    <col min="10" max="10" width="13.88671875" style="21" customWidth="1"/>
    <col min="11" max="11" width="11.44140625" style="21"/>
    <col min="12" max="12" width="12.109375" style="21" bestFit="1" customWidth="1"/>
    <col min="13" max="13" width="11.109375" style="21" customWidth="1"/>
    <col min="14" max="16384" width="11.44140625" style="21"/>
  </cols>
  <sheetData>
    <row r="1" spans="2:12" x14ac:dyDescent="0.3">
      <c r="B1" s="21" t="s">
        <v>157</v>
      </c>
    </row>
    <row r="3" spans="2:12" x14ac:dyDescent="0.3">
      <c r="B3" s="21" t="s">
        <v>18</v>
      </c>
      <c r="J3" s="180" t="s">
        <v>171</v>
      </c>
      <c r="K3" s="181" t="s">
        <v>248</v>
      </c>
    </row>
    <row r="4" spans="2:12" x14ac:dyDescent="0.3">
      <c r="J4" s="180"/>
      <c r="K4" s="181"/>
    </row>
    <row r="5" spans="2:12" x14ac:dyDescent="0.3">
      <c r="C5" s="21" t="s">
        <v>34</v>
      </c>
      <c r="J5" s="180"/>
      <c r="K5" s="182" t="s">
        <v>249</v>
      </c>
      <c r="L5" s="186">
        <f>2200-1163.73</f>
        <v>1036.27</v>
      </c>
    </row>
    <row r="6" spans="2:12" x14ac:dyDescent="0.3">
      <c r="C6" s="21" t="s">
        <v>162</v>
      </c>
      <c r="J6" s="180"/>
      <c r="K6" s="182"/>
      <c r="L6" s="186"/>
    </row>
    <row r="7" spans="2:12" x14ac:dyDescent="0.3">
      <c r="C7" s="21" t="s">
        <v>41</v>
      </c>
      <c r="J7" s="180"/>
      <c r="K7" s="182"/>
      <c r="L7" s="186"/>
    </row>
    <row r="8" spans="2:12" x14ac:dyDescent="0.3">
      <c r="J8" s="180"/>
      <c r="K8" s="182"/>
      <c r="L8" s="186"/>
    </row>
    <row r="9" spans="2:12" x14ac:dyDescent="0.3">
      <c r="B9" s="21" t="s">
        <v>20</v>
      </c>
      <c r="J9" s="180"/>
      <c r="K9" s="182"/>
      <c r="L9" s="186"/>
    </row>
    <row r="10" spans="2:12" x14ac:dyDescent="0.3">
      <c r="J10" s="180"/>
      <c r="K10" s="182"/>
      <c r="L10" s="186"/>
    </row>
    <row r="11" spans="2:12" x14ac:dyDescent="0.3">
      <c r="B11" s="44" t="s">
        <v>19</v>
      </c>
    </row>
    <row r="13" spans="2:12" ht="31.2" customHeight="1" x14ac:dyDescent="0.3">
      <c r="B13" s="165" t="s">
        <v>150</v>
      </c>
      <c r="C13" s="165"/>
      <c r="D13" s="165"/>
      <c r="E13" s="165"/>
      <c r="F13" s="165"/>
      <c r="G13" s="165"/>
      <c r="H13" s="165"/>
      <c r="I13" s="165"/>
    </row>
    <row r="14" spans="2:12" ht="80.25" customHeight="1" x14ac:dyDescent="0.3">
      <c r="B14" s="22" t="s">
        <v>89</v>
      </c>
      <c r="C14" s="22" t="s">
        <v>250</v>
      </c>
      <c r="D14" s="71" t="s">
        <v>90</v>
      </c>
      <c r="E14" s="22" t="s">
        <v>2</v>
      </c>
      <c r="F14" s="22" t="s">
        <v>88</v>
      </c>
      <c r="G14" s="22" t="s">
        <v>21</v>
      </c>
    </row>
    <row r="15" spans="2:12" ht="27" customHeight="1" x14ac:dyDescent="0.3">
      <c r="B15" s="25">
        <f>'EXERCICE 3 2025 C '!B20</f>
        <v>370</v>
      </c>
      <c r="C15" s="25">
        <f>143.33*2</f>
        <v>286.66000000000003</v>
      </c>
      <c r="D15" s="72">
        <f>+B15+C15</f>
        <v>656.66000000000008</v>
      </c>
      <c r="E15" s="38">
        <f>'BAREME 2024 TABLEAU  '!F3</f>
        <v>0.05</v>
      </c>
      <c r="F15" s="25">
        <f>ROUND(D15*E15,2)</f>
        <v>32.83</v>
      </c>
      <c r="G15" s="72">
        <f>F15</f>
        <v>32.83</v>
      </c>
    </row>
    <row r="16" spans="2:12" ht="27" customHeight="1" x14ac:dyDescent="0.3">
      <c r="B16" s="25">
        <f>'EXERCICE 3 2025 C '!B21</f>
        <v>721.67</v>
      </c>
      <c r="C16" s="25">
        <f>C15</f>
        <v>286.66000000000003</v>
      </c>
      <c r="D16" s="72">
        <f>B16+C16</f>
        <v>1008.3299999999999</v>
      </c>
      <c r="E16" s="38">
        <f>'BAREME 2024 TABLEAU  '!F4</f>
        <v>0.1</v>
      </c>
      <c r="F16" s="25">
        <f>ROUND((D16-D15)*E16,2)</f>
        <v>35.17</v>
      </c>
      <c r="G16" s="72">
        <f>G15+F16</f>
        <v>68</v>
      </c>
    </row>
    <row r="17" spans="1:10" ht="27" customHeight="1" x14ac:dyDescent="0.3">
      <c r="B17" s="25">
        <f>'EXERCICE 3 2025 C '!B22</f>
        <v>1074.17</v>
      </c>
      <c r="C17" s="25">
        <f t="shared" ref="C17:C20" si="0">C16</f>
        <v>286.66000000000003</v>
      </c>
      <c r="D17" s="72">
        <f t="shared" ref="D17:D20" si="1">B17+C17</f>
        <v>1360.8300000000002</v>
      </c>
      <c r="E17" s="38">
        <f>'BAREME 2024 TABLEAU  '!F5</f>
        <v>0.2</v>
      </c>
      <c r="F17" s="25">
        <f t="shared" ref="F17:F20" si="2">ROUND((D17-D16)*E17,2)</f>
        <v>70.5</v>
      </c>
      <c r="G17" s="72">
        <f t="shared" ref="G17:G20" si="3">G16+F17</f>
        <v>138.5</v>
      </c>
    </row>
    <row r="18" spans="1:10" ht="27" customHeight="1" x14ac:dyDescent="0.3">
      <c r="B18" s="25">
        <f>'EXERCICE 3 2025 C '!B23</f>
        <v>1424.17</v>
      </c>
      <c r="C18" s="25">
        <f t="shared" si="0"/>
        <v>286.66000000000003</v>
      </c>
      <c r="D18" s="72">
        <f t="shared" si="1"/>
        <v>1710.8300000000002</v>
      </c>
      <c r="E18" s="38">
        <f>'BAREME 2024 TABLEAU  '!F6</f>
        <v>0.25</v>
      </c>
      <c r="F18" s="25">
        <f t="shared" si="2"/>
        <v>87.5</v>
      </c>
      <c r="G18" s="72">
        <f t="shared" si="3"/>
        <v>226</v>
      </c>
    </row>
    <row r="19" spans="1:10" ht="27" customHeight="1" x14ac:dyDescent="0.3">
      <c r="B19" s="25">
        <f>'EXERCICE 3 2025 C '!B24</f>
        <v>1775</v>
      </c>
      <c r="C19" s="25">
        <f t="shared" si="0"/>
        <v>286.66000000000003</v>
      </c>
      <c r="D19" s="72">
        <f t="shared" si="1"/>
        <v>2061.66</v>
      </c>
      <c r="E19" s="38">
        <f>'BAREME 2024 TABLEAU  '!F7</f>
        <v>0.33333333333333331</v>
      </c>
      <c r="F19" s="25">
        <f t="shared" si="2"/>
        <v>116.94</v>
      </c>
      <c r="G19" s="72">
        <f t="shared" si="3"/>
        <v>342.94</v>
      </c>
    </row>
    <row r="20" spans="1:10" ht="27" customHeight="1" x14ac:dyDescent="0.3">
      <c r="B20" s="25">
        <f>'EXERCICE 3 2025 C '!B25</f>
        <v>2133.33</v>
      </c>
      <c r="C20" s="25">
        <f t="shared" si="0"/>
        <v>286.66000000000003</v>
      </c>
      <c r="D20" s="72">
        <f t="shared" si="1"/>
        <v>2419.9899999999998</v>
      </c>
      <c r="E20" s="38">
        <f>'BAREME 2024 TABLEAU  '!F8</f>
        <v>0.66666666666666663</v>
      </c>
      <c r="F20" s="25">
        <f t="shared" si="2"/>
        <v>238.89</v>
      </c>
      <c r="G20" s="72">
        <f t="shared" si="3"/>
        <v>581.82999999999993</v>
      </c>
    </row>
    <row r="21" spans="1:10" x14ac:dyDescent="0.3">
      <c r="B21" s="30"/>
      <c r="C21" s="30"/>
      <c r="D21" s="30"/>
      <c r="E21" s="30"/>
      <c r="F21" s="30"/>
      <c r="G21" s="30"/>
      <c r="H21" s="30"/>
    </row>
    <row r="22" spans="1:10" x14ac:dyDescent="0.3">
      <c r="B22" s="21" t="s">
        <v>22</v>
      </c>
      <c r="J22" s="105">
        <v>2200</v>
      </c>
    </row>
    <row r="24" spans="1:10" x14ac:dyDescent="0.3">
      <c r="B24" s="21" t="s">
        <v>51</v>
      </c>
      <c r="F24" s="53">
        <f>D19</f>
        <v>2061.66</v>
      </c>
      <c r="J24" s="106">
        <f>G19</f>
        <v>342.94</v>
      </c>
    </row>
    <row r="26" spans="1:10" x14ac:dyDescent="0.3">
      <c r="B26" s="21" t="s">
        <v>52</v>
      </c>
      <c r="F26" s="31">
        <f>+J22</f>
        <v>2200</v>
      </c>
      <c r="G26" s="21" t="s">
        <v>91</v>
      </c>
      <c r="H26" s="53">
        <f>+F24</f>
        <v>2061.66</v>
      </c>
      <c r="I26" s="30" t="s">
        <v>251</v>
      </c>
      <c r="J26" s="107">
        <f>ROUND((F26-H26)*E20,2)</f>
        <v>92.23</v>
      </c>
    </row>
    <row r="27" spans="1:10" x14ac:dyDescent="0.3">
      <c r="F27" s="62"/>
      <c r="H27" s="43"/>
    </row>
    <row r="28" spans="1:10" x14ac:dyDescent="0.3">
      <c r="F28" s="62"/>
      <c r="G28" s="43" t="s">
        <v>135</v>
      </c>
      <c r="J28" s="96">
        <f>J24+J26</f>
        <v>435.17</v>
      </c>
    </row>
    <row r="29" spans="1:10" x14ac:dyDescent="0.3">
      <c r="F29" s="62"/>
      <c r="G29" s="21" t="s">
        <v>167</v>
      </c>
      <c r="H29" s="43"/>
    </row>
    <row r="31" spans="1:10" x14ac:dyDescent="0.3">
      <c r="A31" s="21" t="s">
        <v>22</v>
      </c>
    </row>
    <row r="32" spans="1:10" x14ac:dyDescent="0.3">
      <c r="J32" s="62"/>
    </row>
    <row r="33" spans="1:13" x14ac:dyDescent="0.3">
      <c r="B33" s="31">
        <f>F26</f>
        <v>2200</v>
      </c>
      <c r="J33" s="62"/>
    </row>
    <row r="34" spans="1:13" x14ac:dyDescent="0.3">
      <c r="A34" s="21" t="s">
        <v>27</v>
      </c>
      <c r="B34" s="31">
        <f>1163.73</f>
        <v>1163.73</v>
      </c>
      <c r="C34" s="21" t="s">
        <v>199</v>
      </c>
      <c r="J34" s="79"/>
    </row>
    <row r="35" spans="1:13" x14ac:dyDescent="0.3">
      <c r="B35" s="31">
        <f>J28</f>
        <v>435.17</v>
      </c>
      <c r="C35" s="21" t="s">
        <v>23</v>
      </c>
      <c r="H35" s="30"/>
      <c r="K35" s="182" t="s">
        <v>254</v>
      </c>
      <c r="L35" s="183" t="s">
        <v>252</v>
      </c>
      <c r="M35" s="173" t="s">
        <v>255</v>
      </c>
    </row>
    <row r="36" spans="1:13" x14ac:dyDescent="0.3">
      <c r="B36" s="52">
        <f>B33-B34-B35</f>
        <v>601.09999999999991</v>
      </c>
      <c r="C36" s="21" t="s">
        <v>213</v>
      </c>
      <c r="H36" s="79"/>
      <c r="K36" s="182"/>
      <c r="L36" s="183"/>
      <c r="M36" s="174"/>
    </row>
    <row r="37" spans="1:13" x14ac:dyDescent="0.3">
      <c r="H37" s="30"/>
      <c r="K37" s="182"/>
      <c r="L37" s="184" t="s">
        <v>253</v>
      </c>
      <c r="M37" s="174"/>
    </row>
    <row r="38" spans="1:13" x14ac:dyDescent="0.3">
      <c r="H38" s="80"/>
      <c r="K38" s="182"/>
      <c r="L38" s="184"/>
      <c r="M38" s="174"/>
    </row>
    <row r="39" spans="1:13" x14ac:dyDescent="0.3">
      <c r="B39" s="30"/>
      <c r="C39" s="30"/>
      <c r="D39" s="30"/>
      <c r="E39" s="54">
        <f>B36</f>
        <v>601.09999999999991</v>
      </c>
      <c r="F39" s="89" t="s">
        <v>139</v>
      </c>
      <c r="K39" s="182"/>
      <c r="L39" s="184"/>
      <c r="M39" s="174"/>
    </row>
    <row r="40" spans="1:13" x14ac:dyDescent="0.3">
      <c r="B40" s="185" t="s">
        <v>92</v>
      </c>
      <c r="C40" s="185"/>
      <c r="D40" s="54">
        <f>1200</f>
        <v>1200</v>
      </c>
      <c r="E40" s="58"/>
      <c r="F40" s="30"/>
      <c r="G40" s="30"/>
      <c r="K40" s="182"/>
      <c r="L40" s="184"/>
      <c r="M40" s="174"/>
    </row>
    <row r="41" spans="1:13" x14ac:dyDescent="0.3">
      <c r="B41" s="30"/>
      <c r="C41" s="30"/>
      <c r="D41" s="30"/>
      <c r="E41" s="54">
        <f>D40-E39</f>
        <v>598.90000000000009</v>
      </c>
      <c r="F41" s="175" t="s">
        <v>203</v>
      </c>
      <c r="G41" s="175"/>
      <c r="K41" s="55"/>
    </row>
    <row r="42" spans="1:13" x14ac:dyDescent="0.3">
      <c r="B42" s="30"/>
      <c r="C42" s="30"/>
      <c r="D42" s="30"/>
      <c r="E42" s="80"/>
      <c r="F42" s="30"/>
      <c r="G42" s="30"/>
      <c r="K42" s="55"/>
    </row>
    <row r="43" spans="1:13" x14ac:dyDescent="0.3">
      <c r="B43" s="30"/>
      <c r="C43" s="30"/>
      <c r="D43" s="30"/>
      <c r="E43" s="54">
        <f>B35</f>
        <v>435.17</v>
      </c>
      <c r="F43" s="162" t="s">
        <v>204</v>
      </c>
      <c r="G43" s="162"/>
      <c r="H43" s="162"/>
      <c r="I43" s="162"/>
      <c r="K43" s="55"/>
    </row>
    <row r="44" spans="1:13" x14ac:dyDescent="0.3">
      <c r="B44" s="30"/>
      <c r="C44" s="30"/>
      <c r="D44" s="30"/>
      <c r="E44" s="80"/>
      <c r="F44" s="30"/>
      <c r="G44" s="30"/>
    </row>
    <row r="45" spans="1:13" x14ac:dyDescent="0.3">
      <c r="B45" s="30"/>
      <c r="C45" s="30"/>
      <c r="D45" s="30"/>
      <c r="E45" s="54">
        <f>E41-E43</f>
        <v>163.73000000000008</v>
      </c>
      <c r="F45" s="21" t="s">
        <v>206</v>
      </c>
    </row>
    <row r="46" spans="1:13" x14ac:dyDescent="0.3">
      <c r="B46" s="30"/>
      <c r="C46" s="30"/>
      <c r="D46" s="30"/>
      <c r="E46" s="80"/>
      <c r="F46" s="30"/>
      <c r="G46" s="30"/>
    </row>
    <row r="47" spans="1:13" x14ac:dyDescent="0.3">
      <c r="B47" s="21" t="s">
        <v>168</v>
      </c>
      <c r="C47" s="30"/>
      <c r="D47" s="30"/>
      <c r="E47" s="80"/>
      <c r="F47" s="30"/>
      <c r="G47" s="21" t="s">
        <v>169</v>
      </c>
    </row>
    <row r="48" spans="1:13" x14ac:dyDescent="0.3">
      <c r="C48" s="30"/>
      <c r="D48" s="30"/>
      <c r="E48" s="77"/>
      <c r="F48" s="30"/>
      <c r="G48" s="30"/>
    </row>
    <row r="49" spans="2:8" x14ac:dyDescent="0.3">
      <c r="B49" s="73"/>
      <c r="C49" s="74"/>
      <c r="D49" s="74"/>
      <c r="E49" s="82">
        <f>E43</f>
        <v>435.17</v>
      </c>
      <c r="F49" s="176" t="s">
        <v>136</v>
      </c>
      <c r="G49" s="162"/>
      <c r="H49" s="162"/>
    </row>
    <row r="50" spans="2:8" x14ac:dyDescent="0.3">
      <c r="B50" s="177" t="s">
        <v>93</v>
      </c>
      <c r="C50" s="178"/>
      <c r="D50" s="78">
        <f>B35</f>
        <v>435.17</v>
      </c>
      <c r="E50" s="83"/>
      <c r="F50" s="30"/>
      <c r="G50" s="30"/>
    </row>
    <row r="51" spans="2:8" x14ac:dyDescent="0.3">
      <c r="B51" s="75"/>
      <c r="C51" s="76"/>
      <c r="D51" s="76"/>
      <c r="E51" s="82">
        <f>D50-E49</f>
        <v>0</v>
      </c>
      <c r="F51" s="179" t="s">
        <v>137</v>
      </c>
      <c r="G51" s="179"/>
      <c r="H51" s="179"/>
    </row>
    <row r="52" spans="2:8" x14ac:dyDescent="0.3">
      <c r="B52" s="30"/>
      <c r="C52" s="30"/>
      <c r="D52" s="30"/>
      <c r="E52" s="84"/>
      <c r="F52" s="30"/>
      <c r="G52" s="30"/>
      <c r="H52" s="30"/>
    </row>
    <row r="53" spans="2:8" x14ac:dyDescent="0.3">
      <c r="B53" s="73"/>
      <c r="C53" s="74"/>
      <c r="D53" s="74"/>
      <c r="E53" s="82"/>
      <c r="F53" s="81" t="s">
        <v>205</v>
      </c>
      <c r="G53" s="30"/>
      <c r="H53" s="30"/>
    </row>
    <row r="54" spans="2:8" x14ac:dyDescent="0.3">
      <c r="B54" s="177" t="s">
        <v>138</v>
      </c>
      <c r="C54" s="178"/>
      <c r="D54" s="66">
        <v>200</v>
      </c>
      <c r="E54" s="83"/>
      <c r="F54" s="30"/>
      <c r="G54" s="30"/>
      <c r="H54" s="30"/>
    </row>
    <row r="55" spans="2:8" x14ac:dyDescent="0.3">
      <c r="B55" s="75"/>
      <c r="C55" s="76"/>
      <c r="D55" s="76"/>
      <c r="E55" s="82">
        <f>E51-E53</f>
        <v>0</v>
      </c>
      <c r="F55" s="21" t="s">
        <v>163</v>
      </c>
    </row>
    <row r="56" spans="2:8" x14ac:dyDescent="0.3">
      <c r="H56" s="30"/>
    </row>
    <row r="57" spans="2:8" x14ac:dyDescent="0.3">
      <c r="H57" s="30"/>
    </row>
    <row r="58" spans="2:8" x14ac:dyDescent="0.3">
      <c r="C58" s="62"/>
      <c r="H58" s="30"/>
    </row>
    <row r="59" spans="2:8" x14ac:dyDescent="0.3">
      <c r="C59" s="62"/>
      <c r="H59" s="30"/>
    </row>
    <row r="60" spans="2:8" x14ac:dyDescent="0.3">
      <c r="C60" s="62"/>
      <c r="H60" s="30"/>
    </row>
    <row r="61" spans="2:8" x14ac:dyDescent="0.3">
      <c r="C61" s="62"/>
      <c r="H61" s="30"/>
    </row>
    <row r="62" spans="2:8" x14ac:dyDescent="0.3">
      <c r="C62" s="44"/>
      <c r="H62" s="30"/>
    </row>
  </sheetData>
  <mergeCells count="16">
    <mergeCell ref="L5:L10"/>
    <mergeCell ref="F51:H51"/>
    <mergeCell ref="B54:C54"/>
    <mergeCell ref="J3:J10"/>
    <mergeCell ref="K3:K4"/>
    <mergeCell ref="K5:K10"/>
    <mergeCell ref="B13:I13"/>
    <mergeCell ref="K35:K40"/>
    <mergeCell ref="B40:C40"/>
    <mergeCell ref="M35:M40"/>
    <mergeCell ref="F41:G41"/>
    <mergeCell ref="F43:I43"/>
    <mergeCell ref="F49:H49"/>
    <mergeCell ref="B50:C50"/>
    <mergeCell ref="L35:L36"/>
    <mergeCell ref="L37:L4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7CCD9-EE12-4E64-90A1-08271D89C0F4}">
  <dimension ref="A1:L62"/>
  <sheetViews>
    <sheetView topLeftCell="A29" zoomScale="125" workbookViewId="0">
      <selection activeCell="A29" sqref="A1:XFD1048576"/>
    </sheetView>
  </sheetViews>
  <sheetFormatPr baseColWidth="10" defaultColWidth="11.44140625" defaultRowHeight="15.6" x14ac:dyDescent="0.3"/>
  <cols>
    <col min="1" max="1" width="11.44140625" style="21"/>
    <col min="2" max="7" width="13.77734375" style="21" customWidth="1"/>
    <col min="8" max="8" width="11.44140625" style="21"/>
    <col min="9" max="9" width="11" style="21" customWidth="1"/>
    <col min="10" max="10" width="13.109375" style="21" customWidth="1"/>
    <col min="11" max="11" width="11.44140625" style="21"/>
    <col min="12" max="13" width="12.109375" style="21" bestFit="1" customWidth="1"/>
    <col min="14" max="16384" width="11.44140625" style="21"/>
  </cols>
  <sheetData>
    <row r="1" spans="2:11" x14ac:dyDescent="0.3">
      <c r="B1" s="21" t="s">
        <v>157</v>
      </c>
    </row>
    <row r="3" spans="2:11" x14ac:dyDescent="0.3">
      <c r="B3" s="21" t="s">
        <v>18</v>
      </c>
      <c r="J3" s="187" t="s">
        <v>171</v>
      </c>
      <c r="K3" s="181" t="s">
        <v>200</v>
      </c>
    </row>
    <row r="4" spans="2:11" x14ac:dyDescent="0.3">
      <c r="J4" s="187"/>
      <c r="K4" s="181"/>
    </row>
    <row r="5" spans="2:11" x14ac:dyDescent="0.3">
      <c r="C5" s="21" t="s">
        <v>34</v>
      </c>
      <c r="J5" s="187"/>
      <c r="K5" s="182" t="s">
        <v>208</v>
      </c>
    </row>
    <row r="6" spans="2:11" x14ac:dyDescent="0.3">
      <c r="C6" s="21" t="s">
        <v>162</v>
      </c>
      <c r="J6" s="187"/>
      <c r="K6" s="182"/>
    </row>
    <row r="7" spans="2:11" x14ac:dyDescent="0.3">
      <c r="C7" s="21" t="s">
        <v>41</v>
      </c>
      <c r="J7" s="187"/>
      <c r="K7" s="182"/>
    </row>
    <row r="8" spans="2:11" x14ac:dyDescent="0.3">
      <c r="J8" s="187"/>
      <c r="K8" s="182"/>
    </row>
    <row r="9" spans="2:11" x14ac:dyDescent="0.3">
      <c r="B9" s="21" t="s">
        <v>20</v>
      </c>
      <c r="J9" s="187"/>
      <c r="K9" s="182"/>
    </row>
    <row r="10" spans="2:11" x14ac:dyDescent="0.3">
      <c r="J10" s="187"/>
      <c r="K10" s="182"/>
    </row>
    <row r="11" spans="2:11" x14ac:dyDescent="0.3">
      <c r="B11" s="44" t="s">
        <v>19</v>
      </c>
    </row>
    <row r="13" spans="2:11" ht="31.2" customHeight="1" x14ac:dyDescent="0.3">
      <c r="B13" s="165" t="s">
        <v>150</v>
      </c>
      <c r="C13" s="165"/>
      <c r="D13" s="165"/>
      <c r="E13" s="165"/>
      <c r="F13" s="165"/>
      <c r="G13" s="165"/>
      <c r="H13" s="165"/>
      <c r="I13" s="165"/>
    </row>
    <row r="14" spans="2:11" ht="80.25" customHeight="1" x14ac:dyDescent="0.3">
      <c r="B14" s="22" t="s">
        <v>89</v>
      </c>
      <c r="C14" s="22" t="s">
        <v>198</v>
      </c>
      <c r="D14" s="71" t="s">
        <v>90</v>
      </c>
      <c r="E14" s="22" t="s">
        <v>2</v>
      </c>
      <c r="F14" s="22" t="s">
        <v>88</v>
      </c>
      <c r="G14" s="22" t="s">
        <v>21</v>
      </c>
    </row>
    <row r="15" spans="2:11" ht="27" customHeight="1" x14ac:dyDescent="0.3">
      <c r="B15" s="25">
        <f>'BAREME 2024 TABLEAU  '!B3</f>
        <v>364.17</v>
      </c>
      <c r="C15" s="25">
        <f>2*'BAREME 2024 TABLEAU  '!G11</f>
        <v>281.66000000000003</v>
      </c>
      <c r="D15" s="72">
        <f>+B15+C15</f>
        <v>645.83000000000004</v>
      </c>
      <c r="E15" s="38">
        <f>'BAREME 2024 TABLEAU  '!F3</f>
        <v>0.05</v>
      </c>
      <c r="F15" s="25">
        <f>ROUND(D15*E15,2)</f>
        <v>32.29</v>
      </c>
      <c r="G15" s="72">
        <f>F15</f>
        <v>32.29</v>
      </c>
    </row>
    <row r="16" spans="2:11" ht="27" customHeight="1" x14ac:dyDescent="0.3">
      <c r="B16" s="25">
        <f>'BAREME 2024 TABLEAU  '!B4</f>
        <v>710</v>
      </c>
      <c r="C16" s="25">
        <f>C15</f>
        <v>281.66000000000003</v>
      </c>
      <c r="D16" s="72">
        <f>B16+C16</f>
        <v>991.66000000000008</v>
      </c>
      <c r="E16" s="38">
        <f>'BAREME 2024 TABLEAU  '!F4</f>
        <v>0.1</v>
      </c>
      <c r="F16" s="25">
        <f>ROUND((D16-D15)*E16,2)</f>
        <v>34.58</v>
      </c>
      <c r="G16" s="72">
        <f>G15+F16</f>
        <v>66.87</v>
      </c>
    </row>
    <row r="17" spans="1:10" ht="27" customHeight="1" x14ac:dyDescent="0.3">
      <c r="B17" s="25">
        <f>'BAREME 2024 TABLEAU  '!B5</f>
        <v>1057.5</v>
      </c>
      <c r="C17" s="25">
        <f t="shared" ref="C17:C20" si="0">C16</f>
        <v>281.66000000000003</v>
      </c>
      <c r="D17" s="72">
        <f t="shared" ref="D17:D20" si="1">B17+C17</f>
        <v>1339.16</v>
      </c>
      <c r="E17" s="38">
        <f>'BAREME 2024 TABLEAU  '!F5</f>
        <v>0.2</v>
      </c>
      <c r="F17" s="25">
        <f t="shared" ref="F17:F20" si="2">ROUND((D17-D16)*E17,2)</f>
        <v>69.5</v>
      </c>
      <c r="G17" s="72">
        <f t="shared" ref="G17:G20" si="3">G16+F17</f>
        <v>136.37</v>
      </c>
    </row>
    <row r="18" spans="1:10" ht="27" customHeight="1" x14ac:dyDescent="0.3">
      <c r="B18" s="25">
        <f>'BAREME 2024 TABLEAU  '!B6</f>
        <v>1401.67</v>
      </c>
      <c r="C18" s="25">
        <f t="shared" si="0"/>
        <v>281.66000000000003</v>
      </c>
      <c r="D18" s="72">
        <f t="shared" si="1"/>
        <v>1683.3300000000002</v>
      </c>
      <c r="E18" s="38">
        <f>'BAREME 2024 TABLEAU  '!F6</f>
        <v>0.25</v>
      </c>
      <c r="F18" s="25">
        <f t="shared" si="2"/>
        <v>86.04</v>
      </c>
      <c r="G18" s="72">
        <f t="shared" si="3"/>
        <v>222.41000000000003</v>
      </c>
    </row>
    <row r="19" spans="1:10" ht="27" customHeight="1" x14ac:dyDescent="0.3">
      <c r="B19" s="25">
        <f>'BAREME 2024 TABLEAU  '!B7</f>
        <v>1747.5</v>
      </c>
      <c r="C19" s="25">
        <f t="shared" si="0"/>
        <v>281.66000000000003</v>
      </c>
      <c r="D19" s="72">
        <f t="shared" si="1"/>
        <v>2029.16</v>
      </c>
      <c r="E19" s="38">
        <f>'BAREME 2024 TABLEAU  '!F7</f>
        <v>0.33333333333333331</v>
      </c>
      <c r="F19" s="25">
        <f t="shared" si="2"/>
        <v>115.28</v>
      </c>
      <c r="G19" s="72">
        <f t="shared" si="3"/>
        <v>337.69000000000005</v>
      </c>
    </row>
    <row r="20" spans="1:10" ht="27" customHeight="1" x14ac:dyDescent="0.3">
      <c r="B20" s="25">
        <f>'BAREME 2024 TABLEAU  '!B8</f>
        <v>2100</v>
      </c>
      <c r="C20" s="25">
        <f t="shared" si="0"/>
        <v>281.66000000000003</v>
      </c>
      <c r="D20" s="72">
        <f t="shared" si="1"/>
        <v>2381.66</v>
      </c>
      <c r="E20" s="38">
        <f>'BAREME 2024 TABLEAU  '!F8</f>
        <v>0.66666666666666663</v>
      </c>
      <c r="F20" s="25">
        <f t="shared" si="2"/>
        <v>235</v>
      </c>
      <c r="G20" s="72">
        <f t="shared" si="3"/>
        <v>572.69000000000005</v>
      </c>
    </row>
    <row r="21" spans="1:10" x14ac:dyDescent="0.3">
      <c r="B21" s="30"/>
      <c r="C21" s="30"/>
      <c r="D21" s="30"/>
      <c r="E21" s="30"/>
      <c r="F21" s="30"/>
      <c r="G21" s="30"/>
      <c r="H21" s="30"/>
    </row>
    <row r="22" spans="1:10" x14ac:dyDescent="0.3">
      <c r="B22" s="21" t="s">
        <v>22</v>
      </c>
      <c r="J22" s="105">
        <v>2200</v>
      </c>
    </row>
    <row r="24" spans="1:10" x14ac:dyDescent="0.3">
      <c r="B24" s="21" t="s">
        <v>51</v>
      </c>
      <c r="F24" s="53">
        <f>D19</f>
        <v>2029.16</v>
      </c>
      <c r="J24" s="106">
        <f>G19</f>
        <v>337.69000000000005</v>
      </c>
    </row>
    <row r="26" spans="1:10" x14ac:dyDescent="0.3">
      <c r="B26" s="21" t="s">
        <v>52</v>
      </c>
      <c r="F26" s="31">
        <f>+J22</f>
        <v>2200</v>
      </c>
      <c r="G26" s="21" t="s">
        <v>91</v>
      </c>
      <c r="H26" s="53">
        <f>+F24</f>
        <v>2029.16</v>
      </c>
      <c r="I26" s="30" t="s">
        <v>207</v>
      </c>
      <c r="J26" s="107">
        <f>ROUND((F26-H26)*E20,2)</f>
        <v>113.89</v>
      </c>
    </row>
    <row r="27" spans="1:10" x14ac:dyDescent="0.3">
      <c r="F27" s="62"/>
      <c r="H27" s="43"/>
    </row>
    <row r="28" spans="1:10" x14ac:dyDescent="0.3">
      <c r="F28" s="62"/>
      <c r="H28" s="43" t="s">
        <v>135</v>
      </c>
      <c r="J28" s="96">
        <f>J24+J26</f>
        <v>451.58000000000004</v>
      </c>
    </row>
    <row r="29" spans="1:10" x14ac:dyDescent="0.3">
      <c r="F29" s="62"/>
      <c r="G29" s="21" t="s">
        <v>167</v>
      </c>
      <c r="H29" s="43"/>
    </row>
    <row r="31" spans="1:10" x14ac:dyDescent="0.3">
      <c r="A31" s="21" t="s">
        <v>22</v>
      </c>
    </row>
    <row r="32" spans="1:10" x14ac:dyDescent="0.3">
      <c r="J32" s="62"/>
    </row>
    <row r="33" spans="1:12" x14ac:dyDescent="0.3">
      <c r="B33" s="31">
        <f>F26</f>
        <v>2200</v>
      </c>
      <c r="J33" s="62"/>
    </row>
    <row r="34" spans="1:12" x14ac:dyDescent="0.3">
      <c r="A34" s="21" t="s">
        <v>27</v>
      </c>
      <c r="B34" s="31">
        <f>'EXERCICE 3 2024  C '!K47</f>
        <v>1144.28</v>
      </c>
      <c r="C34" s="21" t="s">
        <v>199</v>
      </c>
      <c r="J34" s="79"/>
    </row>
    <row r="35" spans="1:12" x14ac:dyDescent="0.3">
      <c r="B35" s="31">
        <f>J28</f>
        <v>451.58000000000004</v>
      </c>
      <c r="C35" s="21" t="s">
        <v>23</v>
      </c>
      <c r="H35" s="30"/>
      <c r="K35" s="182" t="s">
        <v>201</v>
      </c>
      <c r="L35" s="183" t="s">
        <v>170</v>
      </c>
    </row>
    <row r="36" spans="1:12" x14ac:dyDescent="0.3">
      <c r="B36" s="52">
        <f>B33-B34-B35</f>
        <v>604.14</v>
      </c>
      <c r="C36" s="21" t="s">
        <v>213</v>
      </c>
      <c r="H36" s="79"/>
      <c r="K36" s="182"/>
      <c r="L36" s="183"/>
    </row>
    <row r="37" spans="1:12" x14ac:dyDescent="0.3">
      <c r="H37" s="30"/>
      <c r="K37" s="182"/>
      <c r="L37" s="184" t="s">
        <v>202</v>
      </c>
    </row>
    <row r="38" spans="1:12" x14ac:dyDescent="0.3">
      <c r="H38" s="80"/>
      <c r="K38" s="182"/>
      <c r="L38" s="184"/>
    </row>
    <row r="39" spans="1:12" x14ac:dyDescent="0.3">
      <c r="B39" s="30"/>
      <c r="C39" s="30"/>
      <c r="D39" s="30"/>
      <c r="E39" s="54">
        <f>B36</f>
        <v>604.14</v>
      </c>
      <c r="F39" s="89" t="s">
        <v>139</v>
      </c>
      <c r="K39" s="182"/>
      <c r="L39" s="184"/>
    </row>
    <row r="40" spans="1:12" x14ac:dyDescent="0.3">
      <c r="B40" s="185" t="s">
        <v>92</v>
      </c>
      <c r="C40" s="185"/>
      <c r="D40" s="54">
        <f>1200</f>
        <v>1200</v>
      </c>
      <c r="E40" s="58"/>
      <c r="F40" s="30"/>
      <c r="G40" s="30"/>
      <c r="K40" s="182"/>
      <c r="L40" s="184"/>
    </row>
    <row r="41" spans="1:12" x14ac:dyDescent="0.3">
      <c r="B41" s="30"/>
      <c r="C41" s="30"/>
      <c r="D41" s="30"/>
      <c r="E41" s="54">
        <f>D40-E39</f>
        <v>595.86</v>
      </c>
      <c r="F41" s="175" t="s">
        <v>203</v>
      </c>
      <c r="G41" s="175"/>
      <c r="K41" s="55"/>
    </row>
    <row r="42" spans="1:12" x14ac:dyDescent="0.3">
      <c r="B42" s="30"/>
      <c r="C42" s="30"/>
      <c r="D42" s="30"/>
      <c r="E42" s="80"/>
      <c r="F42" s="30"/>
      <c r="G42" s="30"/>
      <c r="K42" s="55"/>
    </row>
    <row r="43" spans="1:12" x14ac:dyDescent="0.3">
      <c r="B43" s="30"/>
      <c r="C43" s="30"/>
      <c r="D43" s="30"/>
      <c r="E43" s="54">
        <f>B35</f>
        <v>451.58000000000004</v>
      </c>
      <c r="F43" s="162" t="s">
        <v>204</v>
      </c>
      <c r="G43" s="162"/>
      <c r="H43" s="162"/>
      <c r="I43" s="162"/>
      <c r="K43" s="55"/>
    </row>
    <row r="44" spans="1:12" x14ac:dyDescent="0.3">
      <c r="B44" s="30"/>
      <c r="C44" s="30"/>
      <c r="D44" s="30"/>
      <c r="E44" s="80"/>
      <c r="F44" s="30"/>
      <c r="G44" s="30"/>
    </row>
    <row r="45" spans="1:12" x14ac:dyDescent="0.3">
      <c r="B45" s="30"/>
      <c r="C45" s="30"/>
      <c r="D45" s="30"/>
      <c r="E45" s="54">
        <f>E41-E43</f>
        <v>144.27999999999997</v>
      </c>
      <c r="F45" s="21" t="s">
        <v>206</v>
      </c>
    </row>
    <row r="46" spans="1:12" x14ac:dyDescent="0.3">
      <c r="B46" s="30"/>
      <c r="C46" s="30"/>
      <c r="D46" s="30"/>
      <c r="E46" s="80"/>
      <c r="F46" s="30"/>
      <c r="G46" s="30"/>
    </row>
    <row r="47" spans="1:12" x14ac:dyDescent="0.3">
      <c r="B47" s="21" t="s">
        <v>168</v>
      </c>
      <c r="C47" s="30"/>
      <c r="D47" s="30"/>
      <c r="E47" s="80"/>
      <c r="F47" s="30"/>
      <c r="G47" s="21" t="s">
        <v>169</v>
      </c>
    </row>
    <row r="48" spans="1:12" x14ac:dyDescent="0.3">
      <c r="C48" s="30"/>
      <c r="D48" s="30"/>
      <c r="E48" s="77"/>
      <c r="F48" s="30"/>
      <c r="G48" s="30"/>
    </row>
    <row r="49" spans="2:8" x14ac:dyDescent="0.3">
      <c r="B49" s="73"/>
      <c r="C49" s="74"/>
      <c r="D49" s="74"/>
      <c r="E49" s="82">
        <f>E43</f>
        <v>451.58000000000004</v>
      </c>
      <c r="F49" s="176" t="s">
        <v>136</v>
      </c>
      <c r="G49" s="162"/>
      <c r="H49" s="162"/>
    </row>
    <row r="50" spans="2:8" x14ac:dyDescent="0.3">
      <c r="B50" s="177" t="s">
        <v>93</v>
      </c>
      <c r="C50" s="178"/>
      <c r="D50" s="78">
        <f>B35</f>
        <v>451.58000000000004</v>
      </c>
      <c r="E50" s="83"/>
      <c r="F50" s="30"/>
      <c r="G50" s="30"/>
    </row>
    <row r="51" spans="2:8" x14ac:dyDescent="0.3">
      <c r="B51" s="75"/>
      <c r="C51" s="76"/>
      <c r="D51" s="76"/>
      <c r="E51" s="82">
        <f>D50-E49</f>
        <v>0</v>
      </c>
      <c r="F51" s="179" t="s">
        <v>137</v>
      </c>
      <c r="G51" s="179"/>
      <c r="H51" s="179"/>
    </row>
    <row r="52" spans="2:8" x14ac:dyDescent="0.3">
      <c r="B52" s="30"/>
      <c r="C52" s="30"/>
      <c r="D52" s="30"/>
      <c r="E52" s="84"/>
      <c r="F52" s="30"/>
      <c r="G52" s="30"/>
      <c r="H52" s="30"/>
    </row>
    <row r="53" spans="2:8" x14ac:dyDescent="0.3">
      <c r="B53" s="73"/>
      <c r="C53" s="74"/>
      <c r="D53" s="74"/>
      <c r="E53" s="82"/>
      <c r="F53" s="81" t="s">
        <v>205</v>
      </c>
      <c r="G53" s="30"/>
      <c r="H53" s="30"/>
    </row>
    <row r="54" spans="2:8" x14ac:dyDescent="0.3">
      <c r="B54" s="177" t="s">
        <v>138</v>
      </c>
      <c r="C54" s="178"/>
      <c r="D54" s="66">
        <v>200</v>
      </c>
      <c r="E54" s="83"/>
      <c r="F54" s="30"/>
      <c r="G54" s="30"/>
      <c r="H54" s="30"/>
    </row>
    <row r="55" spans="2:8" x14ac:dyDescent="0.3">
      <c r="B55" s="75"/>
      <c r="C55" s="76"/>
      <c r="D55" s="76"/>
      <c r="E55" s="82">
        <f>E51-E53</f>
        <v>0</v>
      </c>
      <c r="F55" s="21" t="s">
        <v>163</v>
      </c>
    </row>
    <row r="56" spans="2:8" x14ac:dyDescent="0.3">
      <c r="H56" s="30"/>
    </row>
    <row r="57" spans="2:8" x14ac:dyDescent="0.3">
      <c r="H57" s="30"/>
    </row>
    <row r="58" spans="2:8" x14ac:dyDescent="0.3">
      <c r="C58" s="62"/>
      <c r="H58" s="30"/>
    </row>
    <row r="59" spans="2:8" x14ac:dyDescent="0.3">
      <c r="C59" s="62"/>
      <c r="H59" s="30"/>
    </row>
    <row r="60" spans="2:8" x14ac:dyDescent="0.3">
      <c r="C60" s="62"/>
      <c r="H60" s="30"/>
    </row>
    <row r="61" spans="2:8" x14ac:dyDescent="0.3">
      <c r="C61" s="62"/>
      <c r="H61" s="30"/>
    </row>
    <row r="62" spans="2:8" x14ac:dyDescent="0.3">
      <c r="C62" s="44"/>
      <c r="H62" s="30"/>
    </row>
  </sheetData>
  <mergeCells count="14">
    <mergeCell ref="J3:J10"/>
    <mergeCell ref="K3:K4"/>
    <mergeCell ref="K5:K10"/>
    <mergeCell ref="K35:K40"/>
    <mergeCell ref="L35:L36"/>
    <mergeCell ref="L37:L40"/>
    <mergeCell ref="B13:I13"/>
    <mergeCell ref="B40:C40"/>
    <mergeCell ref="B50:C50"/>
    <mergeCell ref="B54:C54"/>
    <mergeCell ref="F41:G41"/>
    <mergeCell ref="F49:H49"/>
    <mergeCell ref="F51:H51"/>
    <mergeCell ref="F43:I4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A8C5-4FDE-4B03-AA19-0878ADABCB86}">
  <dimension ref="A3:I76"/>
  <sheetViews>
    <sheetView topLeftCell="B1" workbookViewId="0">
      <selection activeCell="B33" sqref="A33:XFD33"/>
    </sheetView>
  </sheetViews>
  <sheetFormatPr baseColWidth="10" defaultRowHeight="14.4" x14ac:dyDescent="0.3"/>
  <cols>
    <col min="1" max="1" width="3.33203125" customWidth="1"/>
    <col min="2" max="2" width="34" customWidth="1"/>
    <col min="3" max="3" width="29.77734375" customWidth="1"/>
    <col min="4" max="4" width="22.6640625" customWidth="1"/>
    <col min="5" max="5" width="29.5546875" customWidth="1"/>
    <col min="6" max="7" width="34" customWidth="1"/>
  </cols>
  <sheetData>
    <row r="3" spans="1:6" ht="15.75" customHeight="1" x14ac:dyDescent="0.3">
      <c r="B3" s="127" t="s">
        <v>63</v>
      </c>
      <c r="C3" s="127"/>
      <c r="D3" s="127" t="s">
        <v>64</v>
      </c>
      <c r="E3" s="127"/>
      <c r="F3" s="22" t="s">
        <v>65</v>
      </c>
    </row>
    <row r="4" spans="1:6" ht="15.6" x14ac:dyDescent="0.3">
      <c r="B4" s="22" t="s">
        <v>67</v>
      </c>
      <c r="C4" s="22" t="s">
        <v>68</v>
      </c>
      <c r="D4" s="22" t="s">
        <v>67</v>
      </c>
      <c r="E4" s="22" t="s">
        <v>68</v>
      </c>
      <c r="F4" s="22" t="s">
        <v>66</v>
      </c>
    </row>
    <row r="5" spans="1:6" ht="15.6" x14ac:dyDescent="0.3">
      <c r="B5" s="23">
        <v>0</v>
      </c>
      <c r="C5" s="23">
        <f>'BAREME 2024 TABLEAU  '!A3</f>
        <v>4370</v>
      </c>
      <c r="D5" s="23"/>
      <c r="E5" s="24"/>
      <c r="F5" s="28">
        <f>'BAREME 2024 TABLEAU  '!F3</f>
        <v>0.05</v>
      </c>
    </row>
    <row r="6" spans="1:6" ht="15.6" x14ac:dyDescent="0.3">
      <c r="B6" s="23">
        <f>C5</f>
        <v>4370</v>
      </c>
      <c r="C6" s="23">
        <f>'BAREME 2024 TABLEAU  '!A4</f>
        <v>8520</v>
      </c>
      <c r="D6" s="24"/>
      <c r="E6" s="24"/>
      <c r="F6" s="28">
        <f>'BAREME 2024 TABLEAU  '!F4</f>
        <v>0.1</v>
      </c>
    </row>
    <row r="7" spans="1:6" ht="15.6" x14ac:dyDescent="0.3">
      <c r="B7" s="23">
        <f t="shared" ref="B7:B11" si="0">C6</f>
        <v>8520</v>
      </c>
      <c r="C7" s="23">
        <f>'BAREME 2024 TABLEAU  '!A5</f>
        <v>12690</v>
      </c>
      <c r="D7" s="24"/>
      <c r="E7" s="24"/>
      <c r="F7" s="28">
        <f>'BAREME 2024 TABLEAU  '!F5</f>
        <v>0.2</v>
      </c>
    </row>
    <row r="8" spans="1:6" ht="15.6" x14ac:dyDescent="0.3">
      <c r="B8" s="23">
        <f t="shared" si="0"/>
        <v>12690</v>
      </c>
      <c r="C8" s="23">
        <f>'BAREME 2024 TABLEAU  '!A6</f>
        <v>16820</v>
      </c>
      <c r="D8" s="24"/>
      <c r="E8" s="24"/>
      <c r="F8" s="28">
        <f>'BAREME 2024 TABLEAU  '!F6</f>
        <v>0.25</v>
      </c>
    </row>
    <row r="9" spans="1:6" ht="15.6" x14ac:dyDescent="0.3">
      <c r="B9" s="23">
        <f t="shared" si="0"/>
        <v>16820</v>
      </c>
      <c r="C9" s="23">
        <f>'BAREME 2024 TABLEAU  '!A7</f>
        <v>20970</v>
      </c>
      <c r="D9" s="24"/>
      <c r="E9" s="24"/>
      <c r="F9" s="28">
        <f>'BAREME 2024 TABLEAU  '!F7</f>
        <v>0.33333333333333331</v>
      </c>
    </row>
    <row r="10" spans="1:6" ht="15.6" x14ac:dyDescent="0.3">
      <c r="B10" s="23">
        <f t="shared" si="0"/>
        <v>20970</v>
      </c>
      <c r="C10" s="23">
        <f>'BAREME 2024 TABLEAU  '!A8</f>
        <v>25200</v>
      </c>
      <c r="D10" s="24"/>
      <c r="E10" s="24"/>
      <c r="F10" s="28">
        <f>'BAREME 2024 TABLEAU  '!F8</f>
        <v>0.66666666666666663</v>
      </c>
    </row>
    <row r="11" spans="1:6" ht="15.6" x14ac:dyDescent="0.3">
      <c r="B11" s="23">
        <f t="shared" si="0"/>
        <v>25200</v>
      </c>
      <c r="C11" s="11"/>
      <c r="D11" s="24"/>
      <c r="E11" s="11"/>
      <c r="F11" s="22" t="s">
        <v>69</v>
      </c>
    </row>
    <row r="12" spans="1:6" x14ac:dyDescent="0.3">
      <c r="B12" s="132" t="s">
        <v>172</v>
      </c>
      <c r="C12" s="132"/>
      <c r="D12" s="132"/>
      <c r="E12" s="132"/>
    </row>
    <row r="13" spans="1:6" ht="13.8" customHeight="1" x14ac:dyDescent="0.3">
      <c r="B13" s="8"/>
      <c r="C13" s="8"/>
      <c r="D13" s="8"/>
      <c r="E13" s="8"/>
    </row>
    <row r="14" spans="1:6" hidden="1" x14ac:dyDescent="0.3"/>
    <row r="15" spans="1:6" ht="57.6" hidden="1" x14ac:dyDescent="0.3">
      <c r="A15" s="9" t="s">
        <v>14</v>
      </c>
      <c r="B15" s="9" t="s">
        <v>15</v>
      </c>
      <c r="C15" s="9" t="s">
        <v>58</v>
      </c>
      <c r="D15" s="9" t="s">
        <v>45</v>
      </c>
      <c r="E15" s="9" t="s">
        <v>59</v>
      </c>
    </row>
    <row r="16" spans="1:6" hidden="1" x14ac:dyDescent="0.3">
      <c r="A16" s="11">
        <v>1</v>
      </c>
      <c r="B16" s="11" t="s">
        <v>70</v>
      </c>
      <c r="C16" s="11" t="s">
        <v>42</v>
      </c>
      <c r="D16" s="15">
        <v>0.05</v>
      </c>
      <c r="E16" s="11">
        <f>ROUND(313.33*1/20,2)</f>
        <v>15.67</v>
      </c>
    </row>
    <row r="17" spans="1:9" hidden="1" x14ac:dyDescent="0.3">
      <c r="A17" s="11">
        <v>2</v>
      </c>
      <c r="B17" s="11" t="s">
        <v>71</v>
      </c>
      <c r="C17" s="16">
        <v>45.5</v>
      </c>
      <c r="D17" s="15">
        <v>0.1</v>
      </c>
      <c r="E17" s="16">
        <f>ROUND(((611.67 -313.33)*1/10)+E16,2)</f>
        <v>45.5</v>
      </c>
    </row>
    <row r="18" spans="1:9" hidden="1" x14ac:dyDescent="0.3">
      <c r="A18" s="11">
        <v>3</v>
      </c>
      <c r="B18" s="11" t="s">
        <v>72</v>
      </c>
      <c r="C18" s="16">
        <v>105.5</v>
      </c>
      <c r="D18" s="15">
        <v>0.2</v>
      </c>
      <c r="E18" s="16">
        <f>ROUND(((911.67 -611.67)*1/5)+E17,2)</f>
        <v>105.5</v>
      </c>
    </row>
    <row r="19" spans="1:9" hidden="1" x14ac:dyDescent="0.3">
      <c r="A19" s="11">
        <v>4</v>
      </c>
      <c r="B19" s="11" t="s">
        <v>73</v>
      </c>
      <c r="C19" s="16">
        <v>180.29</v>
      </c>
      <c r="D19" s="15">
        <v>0.25</v>
      </c>
      <c r="E19" s="16">
        <f>ROUND(((1210.83-911.67)*1/4)+E18,2)</f>
        <v>180.29</v>
      </c>
    </row>
    <row r="20" spans="1:9" hidden="1" x14ac:dyDescent="0.3">
      <c r="A20" s="11">
        <v>5</v>
      </c>
      <c r="B20" s="11" t="s">
        <v>74</v>
      </c>
      <c r="C20" s="16">
        <v>279.74</v>
      </c>
      <c r="D20" s="15">
        <v>0.33333333333333331</v>
      </c>
      <c r="E20" s="16">
        <f>ROUND(((1509.17-1210.83)*1/3)+E19,2)</f>
        <v>279.74</v>
      </c>
    </row>
    <row r="21" spans="1:9" hidden="1" x14ac:dyDescent="0.3">
      <c r="A21" s="11">
        <v>6</v>
      </c>
      <c r="B21" s="11" t="s">
        <v>75</v>
      </c>
      <c r="C21" s="16">
        <v>482.51</v>
      </c>
      <c r="D21" s="15">
        <v>0.66666666666666663</v>
      </c>
      <c r="E21" s="16">
        <f>ROUND(((1813.33-1509.17)*2/3)+E20,2)</f>
        <v>482.51</v>
      </c>
    </row>
    <row r="22" spans="1:9" ht="28.8" hidden="1" x14ac:dyDescent="0.3">
      <c r="A22" s="11">
        <v>7</v>
      </c>
      <c r="B22" s="11" t="s">
        <v>76</v>
      </c>
      <c r="C22" s="11" t="s">
        <v>43</v>
      </c>
      <c r="D22" s="15" t="s">
        <v>44</v>
      </c>
      <c r="E22" s="10"/>
    </row>
    <row r="23" spans="1:9" hidden="1" x14ac:dyDescent="0.3">
      <c r="F23" s="34"/>
    </row>
    <row r="24" spans="1:9" s="1" customFormat="1" ht="30" customHeight="1" x14ac:dyDescent="0.3">
      <c r="B24" s="133" t="s">
        <v>214</v>
      </c>
      <c r="C24" s="133"/>
      <c r="D24" s="133"/>
      <c r="E24" s="133"/>
      <c r="F24" s="6"/>
      <c r="G24" s="6"/>
      <c r="H24" s="6"/>
    </row>
    <row r="25" spans="1:9" s="1" customFormat="1" ht="60" customHeight="1" x14ac:dyDescent="0.3">
      <c r="B25" s="21"/>
      <c r="C25" s="26" t="s">
        <v>2</v>
      </c>
      <c r="D25" s="26" t="s">
        <v>47</v>
      </c>
      <c r="E25" s="27" t="s">
        <v>48</v>
      </c>
      <c r="H25" s="6"/>
      <c r="I25" s="86"/>
    </row>
    <row r="26" spans="1:9" s="1" customFormat="1" ht="31.5" customHeight="1" x14ac:dyDescent="0.3">
      <c r="B26" s="25">
        <f>E5</f>
        <v>0</v>
      </c>
      <c r="C26" s="28">
        <f>1/20</f>
        <v>0.05</v>
      </c>
      <c r="D26" s="25">
        <f>ROUNDDOWN((B26*C26),2)</f>
        <v>0</v>
      </c>
      <c r="E26" s="25">
        <f>D26</f>
        <v>0</v>
      </c>
      <c r="F26" s="85"/>
      <c r="H26" s="87"/>
      <c r="I26" s="87"/>
    </row>
    <row r="27" spans="1:9" s="1" customFormat="1" ht="31.5" customHeight="1" x14ac:dyDescent="0.3">
      <c r="B27" s="25">
        <f t="shared" ref="B27:B31" si="1">E6</f>
        <v>0</v>
      </c>
      <c r="C27" s="28">
        <v>0.1</v>
      </c>
      <c r="D27" s="25">
        <f>ROUND((B27-B26)*C27,2)</f>
        <v>0</v>
      </c>
      <c r="E27" s="25">
        <f>E26+D27</f>
        <v>0</v>
      </c>
      <c r="H27" s="87"/>
      <c r="I27" s="87"/>
    </row>
    <row r="28" spans="1:9" s="1" customFormat="1" ht="31.5" customHeight="1" x14ac:dyDescent="0.3">
      <c r="B28" s="25">
        <f t="shared" si="1"/>
        <v>0</v>
      </c>
      <c r="C28" s="28">
        <v>0.2</v>
      </c>
      <c r="D28" s="25">
        <f t="shared" ref="D28:D31" si="2">ROUND((B28-B27)*C28,2)</f>
        <v>0</v>
      </c>
      <c r="E28" s="25">
        <f t="shared" ref="E28:E31" si="3">E27+D28</f>
        <v>0</v>
      </c>
      <c r="H28" s="87"/>
      <c r="I28" s="87"/>
    </row>
    <row r="29" spans="1:9" s="1" customFormat="1" ht="31.5" customHeight="1" x14ac:dyDescent="0.3">
      <c r="B29" s="25">
        <f t="shared" si="1"/>
        <v>0</v>
      </c>
      <c r="C29" s="28">
        <v>0.25</v>
      </c>
      <c r="D29" s="25">
        <f t="shared" si="2"/>
        <v>0</v>
      </c>
      <c r="E29" s="25">
        <f t="shared" si="3"/>
        <v>0</v>
      </c>
      <c r="H29" s="87"/>
      <c r="I29" s="87"/>
    </row>
    <row r="30" spans="1:9" s="1" customFormat="1" ht="31.5" customHeight="1" x14ac:dyDescent="0.3">
      <c r="B30" s="25">
        <f t="shared" si="1"/>
        <v>0</v>
      </c>
      <c r="C30" s="28">
        <v>0.33333333333333331</v>
      </c>
      <c r="D30" s="25">
        <f t="shared" si="2"/>
        <v>0</v>
      </c>
      <c r="E30" s="25">
        <f t="shared" si="3"/>
        <v>0</v>
      </c>
      <c r="H30" s="87"/>
      <c r="I30" s="87"/>
    </row>
    <row r="31" spans="1:9" s="1" customFormat="1" ht="31.5" customHeight="1" x14ac:dyDescent="0.3">
      <c r="B31" s="25">
        <f t="shared" si="1"/>
        <v>0</v>
      </c>
      <c r="C31" s="28">
        <v>0.66666666666666663</v>
      </c>
      <c r="D31" s="25">
        <f t="shared" si="2"/>
        <v>0</v>
      </c>
      <c r="E31" s="25">
        <f t="shared" si="3"/>
        <v>0</v>
      </c>
      <c r="H31" s="87"/>
      <c r="I31" s="87"/>
    </row>
    <row r="47" spans="2:6" ht="26.4" customHeight="1" x14ac:dyDescent="0.3">
      <c r="B47" s="133" t="s">
        <v>215</v>
      </c>
      <c r="C47" s="133"/>
      <c r="D47" s="133"/>
      <c r="E47" s="133"/>
    </row>
    <row r="48" spans="2:6" ht="15.75" customHeight="1" x14ac:dyDescent="0.3">
      <c r="B48" s="127" t="s">
        <v>63</v>
      </c>
      <c r="C48" s="127"/>
      <c r="D48" s="127" t="s">
        <v>64</v>
      </c>
      <c r="E48" s="127"/>
      <c r="F48" s="22" t="s">
        <v>65</v>
      </c>
    </row>
    <row r="49" spans="1:6" ht="15.6" x14ac:dyDescent="0.3">
      <c r="B49" s="22" t="s">
        <v>67</v>
      </c>
      <c r="C49" s="22" t="s">
        <v>68</v>
      </c>
      <c r="D49" s="22" t="s">
        <v>67</v>
      </c>
      <c r="E49" s="22" t="s">
        <v>68</v>
      </c>
      <c r="F49" s="22" t="s">
        <v>66</v>
      </c>
    </row>
    <row r="50" spans="1:6" ht="15.6" x14ac:dyDescent="0.3">
      <c r="B50" s="23"/>
      <c r="C50" s="23">
        <v>4440</v>
      </c>
      <c r="D50" s="23"/>
      <c r="E50" s="24"/>
      <c r="F50" s="28">
        <f t="shared" ref="F50:F55" si="4">+F5</f>
        <v>0.05</v>
      </c>
    </row>
    <row r="51" spans="1:6" ht="15.6" x14ac:dyDescent="0.3">
      <c r="B51" s="23">
        <f>C50</f>
        <v>4440</v>
      </c>
      <c r="C51" s="23">
        <v>8660</v>
      </c>
      <c r="D51" s="24"/>
      <c r="E51" s="24"/>
      <c r="F51" s="28">
        <f t="shared" si="4"/>
        <v>0.1</v>
      </c>
    </row>
    <row r="52" spans="1:6" ht="15.6" x14ac:dyDescent="0.3">
      <c r="B52" s="23">
        <f>+C51</f>
        <v>8660</v>
      </c>
      <c r="C52" s="23">
        <v>12890</v>
      </c>
      <c r="D52" s="24"/>
      <c r="E52" s="24"/>
      <c r="F52" s="28">
        <f t="shared" si="4"/>
        <v>0.2</v>
      </c>
    </row>
    <row r="53" spans="1:6" ht="15.6" x14ac:dyDescent="0.3">
      <c r="B53" s="23">
        <f t="shared" ref="B53:B56" si="5">+C52</f>
        <v>12890</v>
      </c>
      <c r="C53" s="23">
        <v>17090</v>
      </c>
      <c r="D53" s="24"/>
      <c r="E53" s="24"/>
      <c r="F53" s="28">
        <f t="shared" si="4"/>
        <v>0.25</v>
      </c>
    </row>
    <row r="54" spans="1:6" ht="15.6" x14ac:dyDescent="0.3">
      <c r="B54" s="23">
        <f t="shared" si="5"/>
        <v>17090</v>
      </c>
      <c r="C54" s="23">
        <v>21300</v>
      </c>
      <c r="D54" s="24"/>
      <c r="E54" s="24"/>
      <c r="F54" s="28">
        <f t="shared" si="4"/>
        <v>0.33333333333333331</v>
      </c>
    </row>
    <row r="55" spans="1:6" ht="15.6" x14ac:dyDescent="0.3">
      <c r="B55" s="23">
        <f t="shared" si="5"/>
        <v>21300</v>
      </c>
      <c r="C55" s="23">
        <v>25600</v>
      </c>
      <c r="D55" s="24"/>
      <c r="E55" s="24"/>
      <c r="F55" s="28">
        <f t="shared" si="4"/>
        <v>0.66666666666666663</v>
      </c>
    </row>
    <row r="56" spans="1:6" ht="15.6" x14ac:dyDescent="0.3">
      <c r="B56" s="23">
        <f t="shared" si="5"/>
        <v>25600</v>
      </c>
      <c r="C56" s="11"/>
      <c r="D56" s="24"/>
      <c r="E56" s="11"/>
      <c r="F56" s="22" t="s">
        <v>69</v>
      </c>
    </row>
    <row r="57" spans="1:6" x14ac:dyDescent="0.3">
      <c r="B57" s="132" t="s">
        <v>233</v>
      </c>
      <c r="C57" s="132"/>
      <c r="D57" s="132"/>
      <c r="E57" s="132"/>
    </row>
    <row r="58" spans="1:6" ht="13.8" customHeight="1" x14ac:dyDescent="0.3">
      <c r="B58" s="8"/>
      <c r="C58" s="8"/>
      <c r="D58" s="8"/>
      <c r="E58" s="8"/>
    </row>
    <row r="59" spans="1:6" hidden="1" x14ac:dyDescent="0.3"/>
    <row r="60" spans="1:6" ht="57.6" hidden="1" x14ac:dyDescent="0.3">
      <c r="A60" s="9" t="s">
        <v>14</v>
      </c>
      <c r="B60" s="9" t="s">
        <v>15</v>
      </c>
      <c r="C60" s="9" t="s">
        <v>58</v>
      </c>
      <c r="D60" s="9" t="s">
        <v>45</v>
      </c>
      <c r="E60" s="9" t="s">
        <v>59</v>
      </c>
    </row>
    <row r="61" spans="1:6" hidden="1" x14ac:dyDescent="0.3">
      <c r="A61" s="11">
        <v>1</v>
      </c>
      <c r="B61" s="11" t="s">
        <v>70</v>
      </c>
      <c r="C61" s="11" t="s">
        <v>42</v>
      </c>
      <c r="D61" s="15">
        <v>0.05</v>
      </c>
      <c r="E61" s="11">
        <f>ROUND(313.33*1/20,2)</f>
        <v>15.67</v>
      </c>
    </row>
    <row r="62" spans="1:6" hidden="1" x14ac:dyDescent="0.3">
      <c r="A62" s="11">
        <v>2</v>
      </c>
      <c r="B62" s="11" t="s">
        <v>71</v>
      </c>
      <c r="C62" s="16">
        <v>45.5</v>
      </c>
      <c r="D62" s="15">
        <v>0.1</v>
      </c>
      <c r="E62" s="16">
        <f>ROUND(((611.67 -313.33)*1/10)+E61,2)</f>
        <v>45.5</v>
      </c>
    </row>
    <row r="63" spans="1:6" hidden="1" x14ac:dyDescent="0.3">
      <c r="A63" s="11">
        <v>3</v>
      </c>
      <c r="B63" s="11" t="s">
        <v>72</v>
      </c>
      <c r="C63" s="16">
        <v>105.5</v>
      </c>
      <c r="D63" s="15">
        <v>0.2</v>
      </c>
      <c r="E63" s="16">
        <f>ROUND(((911.67 -611.67)*1/5)+E62,2)</f>
        <v>105.5</v>
      </c>
    </row>
    <row r="64" spans="1:6" hidden="1" x14ac:dyDescent="0.3">
      <c r="A64" s="11">
        <v>4</v>
      </c>
      <c r="B64" s="11" t="s">
        <v>73</v>
      </c>
      <c r="C64" s="16">
        <v>180.29</v>
      </c>
      <c r="D64" s="15">
        <v>0.25</v>
      </c>
      <c r="E64" s="16">
        <f>ROUND(((1210.83-911.67)*1/4)+E63,2)</f>
        <v>180.29</v>
      </c>
    </row>
    <row r="65" spans="1:9" hidden="1" x14ac:dyDescent="0.3">
      <c r="A65" s="11">
        <v>5</v>
      </c>
      <c r="B65" s="11" t="s">
        <v>74</v>
      </c>
      <c r="C65" s="16">
        <v>279.74</v>
      </c>
      <c r="D65" s="15">
        <v>0.33333333333333331</v>
      </c>
      <c r="E65" s="16">
        <f>ROUND(((1509.17-1210.83)*1/3)+E64,2)</f>
        <v>279.74</v>
      </c>
    </row>
    <row r="66" spans="1:9" hidden="1" x14ac:dyDescent="0.3">
      <c r="A66" s="11">
        <v>6</v>
      </c>
      <c r="B66" s="11" t="s">
        <v>75</v>
      </c>
      <c r="C66" s="16">
        <v>482.51</v>
      </c>
      <c r="D66" s="15">
        <v>0.66666666666666663</v>
      </c>
      <c r="E66" s="16">
        <f>ROUND(((1813.33-1509.17)*2/3)+E65,2)</f>
        <v>482.51</v>
      </c>
    </row>
    <row r="67" spans="1:9" ht="28.8" hidden="1" x14ac:dyDescent="0.3">
      <c r="A67" s="11">
        <v>7</v>
      </c>
      <c r="B67" s="11" t="s">
        <v>76</v>
      </c>
      <c r="C67" s="11" t="s">
        <v>43</v>
      </c>
      <c r="D67" s="15" t="s">
        <v>44</v>
      </c>
      <c r="E67" s="10"/>
    </row>
    <row r="68" spans="1:9" hidden="1" x14ac:dyDescent="0.3">
      <c r="F68" s="34"/>
    </row>
    <row r="69" spans="1:9" s="1" customFormat="1" ht="30" customHeight="1" x14ac:dyDescent="0.3">
      <c r="B69" s="133" t="s">
        <v>215</v>
      </c>
      <c r="C69" s="133"/>
      <c r="D69" s="133"/>
      <c r="E69" s="133"/>
      <c r="F69" s="6"/>
      <c r="G69" s="6"/>
      <c r="H69" s="6"/>
    </row>
    <row r="70" spans="1:9" s="1" customFormat="1" ht="60" customHeight="1" x14ac:dyDescent="0.3">
      <c r="B70" s="21"/>
      <c r="C70" s="26" t="s">
        <v>2</v>
      </c>
      <c r="D70" s="26" t="s">
        <v>47</v>
      </c>
      <c r="E70" s="27" t="s">
        <v>48</v>
      </c>
      <c r="H70" s="6"/>
      <c r="I70" s="86"/>
    </row>
    <row r="71" spans="1:9" s="1" customFormat="1" ht="31.5" customHeight="1" x14ac:dyDescent="0.3">
      <c r="B71" s="25">
        <f t="shared" ref="B71:B76" si="6">E50</f>
        <v>0</v>
      </c>
      <c r="C71" s="28">
        <f>1/20</f>
        <v>0.05</v>
      </c>
      <c r="D71" s="25">
        <f>ROUNDDOWN((B71*C71),2)</f>
        <v>0</v>
      </c>
      <c r="E71" s="25">
        <f>D71</f>
        <v>0</v>
      </c>
      <c r="F71" s="85"/>
      <c r="H71" s="87"/>
      <c r="I71" s="87"/>
    </row>
    <row r="72" spans="1:9" s="1" customFormat="1" ht="31.5" customHeight="1" x14ac:dyDescent="0.3">
      <c r="B72" s="25">
        <f t="shared" si="6"/>
        <v>0</v>
      </c>
      <c r="C72" s="28">
        <v>0.1</v>
      </c>
      <c r="D72" s="25">
        <f>ROUND((B72-B71)*C72,2)</f>
        <v>0</v>
      </c>
      <c r="E72" s="25">
        <f>E71+D72</f>
        <v>0</v>
      </c>
      <c r="H72" s="87"/>
      <c r="I72" s="87"/>
    </row>
    <row r="73" spans="1:9" s="1" customFormat="1" ht="31.5" customHeight="1" x14ac:dyDescent="0.3">
      <c r="B73" s="25">
        <f t="shared" si="6"/>
        <v>0</v>
      </c>
      <c r="C73" s="28">
        <v>0.2</v>
      </c>
      <c r="D73" s="25">
        <f t="shared" ref="D73:D76" si="7">ROUND((B73-B72)*C73,2)</f>
        <v>0</v>
      </c>
      <c r="E73" s="25">
        <f t="shared" ref="E73:E76" si="8">E72+D73</f>
        <v>0</v>
      </c>
      <c r="H73" s="87"/>
      <c r="I73" s="87"/>
    </row>
    <row r="74" spans="1:9" s="1" customFormat="1" ht="31.5" customHeight="1" x14ac:dyDescent="0.3">
      <c r="B74" s="25">
        <f t="shared" si="6"/>
        <v>0</v>
      </c>
      <c r="C74" s="28">
        <v>0.25</v>
      </c>
      <c r="D74" s="25">
        <f t="shared" si="7"/>
        <v>0</v>
      </c>
      <c r="E74" s="25">
        <f t="shared" si="8"/>
        <v>0</v>
      </c>
      <c r="H74" s="87"/>
      <c r="I74" s="87"/>
    </row>
    <row r="75" spans="1:9" s="1" customFormat="1" ht="31.5" customHeight="1" x14ac:dyDescent="0.3">
      <c r="B75" s="25">
        <f t="shared" si="6"/>
        <v>0</v>
      </c>
      <c r="C75" s="28">
        <v>0.33333333333333331</v>
      </c>
      <c r="D75" s="25">
        <f t="shared" si="7"/>
        <v>0</v>
      </c>
      <c r="E75" s="25">
        <f t="shared" si="8"/>
        <v>0</v>
      </c>
      <c r="H75" s="87"/>
      <c r="I75" s="87"/>
    </row>
    <row r="76" spans="1:9" s="1" customFormat="1" ht="31.5" customHeight="1" x14ac:dyDescent="0.3">
      <c r="B76" s="25">
        <f t="shared" si="6"/>
        <v>0</v>
      </c>
      <c r="C76" s="28">
        <v>0.66666666666666663</v>
      </c>
      <c r="D76" s="25">
        <f t="shared" si="7"/>
        <v>0</v>
      </c>
      <c r="E76" s="25">
        <f t="shared" si="8"/>
        <v>0</v>
      </c>
      <c r="H76" s="87"/>
      <c r="I76" s="87"/>
    </row>
  </sheetData>
  <mergeCells count="9">
    <mergeCell ref="B69:E69"/>
    <mergeCell ref="D48:E48"/>
    <mergeCell ref="B48:C48"/>
    <mergeCell ref="B24:E24"/>
    <mergeCell ref="B3:C3"/>
    <mergeCell ref="D3:E3"/>
    <mergeCell ref="B12:E12"/>
    <mergeCell ref="B47:E47"/>
    <mergeCell ref="B57:E57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36A0-B1C4-4BD5-9F8F-269E5AF32162}">
  <dimension ref="A3:I75"/>
  <sheetViews>
    <sheetView topLeftCell="A23" workbookViewId="0">
      <selection activeCell="H23" sqref="H23"/>
    </sheetView>
  </sheetViews>
  <sheetFormatPr baseColWidth="10" defaultRowHeight="14.4" x14ac:dyDescent="0.3"/>
  <cols>
    <col min="1" max="1" width="15.109375" customWidth="1"/>
    <col min="2" max="2" width="19" customWidth="1"/>
    <col min="3" max="3" width="22.6640625" customWidth="1"/>
    <col min="4" max="4" width="18.109375" customWidth="1"/>
    <col min="5" max="5" width="23.77734375" customWidth="1"/>
    <col min="6" max="6" width="34" customWidth="1"/>
    <col min="7" max="7" width="19.77734375" customWidth="1"/>
    <col min="8" max="8" width="19.6640625" customWidth="1"/>
  </cols>
  <sheetData>
    <row r="3" spans="1:6" ht="15.75" customHeight="1" x14ac:dyDescent="0.3">
      <c r="B3" s="127" t="s">
        <v>63</v>
      </c>
      <c r="C3" s="127"/>
      <c r="D3" s="127" t="s">
        <v>64</v>
      </c>
      <c r="E3" s="127"/>
      <c r="F3" s="22" t="s">
        <v>65</v>
      </c>
    </row>
    <row r="4" spans="1:6" ht="15.6" x14ac:dyDescent="0.3">
      <c r="B4" s="22" t="s">
        <v>67</v>
      </c>
      <c r="C4" s="22" t="s">
        <v>68</v>
      </c>
      <c r="D4" s="22" t="s">
        <v>67</v>
      </c>
      <c r="E4" s="22" t="s">
        <v>68</v>
      </c>
      <c r="F4" s="22" t="s">
        <v>66</v>
      </c>
    </row>
    <row r="5" spans="1:6" ht="15.6" x14ac:dyDescent="0.3">
      <c r="B5" s="23">
        <v>0</v>
      </c>
      <c r="C5" s="23">
        <f>'BAREME 2024 TABLEAU  '!A3</f>
        <v>4370</v>
      </c>
      <c r="D5" s="23">
        <v>0</v>
      </c>
      <c r="E5" s="24">
        <f>'BAREME 2024 TABLEAU  '!B3</f>
        <v>364.17</v>
      </c>
      <c r="F5" s="28">
        <f>'BAREME 2024 TABLEAU  '!F3</f>
        <v>0.05</v>
      </c>
    </row>
    <row r="6" spans="1:6" ht="15.6" x14ac:dyDescent="0.3">
      <c r="B6" s="23">
        <f>C5</f>
        <v>4370</v>
      </c>
      <c r="C6" s="23">
        <f>'BAREME 2024 TABLEAU  '!A4</f>
        <v>8520</v>
      </c>
      <c r="D6" s="24">
        <f>E5</f>
        <v>364.17</v>
      </c>
      <c r="E6" s="24">
        <f>'BAREME 2024 TABLEAU  '!B4</f>
        <v>710</v>
      </c>
      <c r="F6" s="28">
        <f>'BAREME 2024 TABLEAU  '!F4</f>
        <v>0.1</v>
      </c>
    </row>
    <row r="7" spans="1:6" ht="15.6" x14ac:dyDescent="0.3">
      <c r="B7" s="23">
        <f t="shared" ref="B7:B11" si="0">C6</f>
        <v>8520</v>
      </c>
      <c r="C7" s="23">
        <f>'BAREME 2024 TABLEAU  '!A5</f>
        <v>12690</v>
      </c>
      <c r="D7" s="24">
        <f t="shared" ref="D7:D11" si="1">E6</f>
        <v>710</v>
      </c>
      <c r="E7" s="24">
        <f>'BAREME 2024 TABLEAU  '!B5</f>
        <v>1057.5</v>
      </c>
      <c r="F7" s="28">
        <f>'BAREME 2024 TABLEAU  '!F5</f>
        <v>0.2</v>
      </c>
    </row>
    <row r="8" spans="1:6" ht="15.6" x14ac:dyDescent="0.3">
      <c r="B8" s="23">
        <f t="shared" si="0"/>
        <v>12690</v>
      </c>
      <c r="C8" s="23">
        <f>'BAREME 2024 TABLEAU  '!A6</f>
        <v>16820</v>
      </c>
      <c r="D8" s="24">
        <f t="shared" si="1"/>
        <v>1057.5</v>
      </c>
      <c r="E8" s="24">
        <f>'BAREME 2024 TABLEAU  '!B6</f>
        <v>1401.67</v>
      </c>
      <c r="F8" s="28">
        <f>'BAREME 2024 TABLEAU  '!F6</f>
        <v>0.25</v>
      </c>
    </row>
    <row r="9" spans="1:6" ht="15.6" x14ac:dyDescent="0.3">
      <c r="B9" s="23">
        <f t="shared" si="0"/>
        <v>16820</v>
      </c>
      <c r="C9" s="23">
        <f>'BAREME 2024 TABLEAU  '!A7</f>
        <v>20970</v>
      </c>
      <c r="D9" s="24">
        <f t="shared" si="1"/>
        <v>1401.67</v>
      </c>
      <c r="E9" s="24">
        <f>'BAREME 2024 TABLEAU  '!B7</f>
        <v>1747.5</v>
      </c>
      <c r="F9" s="28">
        <f>'BAREME 2024 TABLEAU  '!F7</f>
        <v>0.33333333333333331</v>
      </c>
    </row>
    <row r="10" spans="1:6" ht="15.6" x14ac:dyDescent="0.3">
      <c r="B10" s="23">
        <f t="shared" si="0"/>
        <v>20970</v>
      </c>
      <c r="C10" s="23">
        <f>'BAREME 2024 TABLEAU  '!A8</f>
        <v>25200</v>
      </c>
      <c r="D10" s="24">
        <f t="shared" si="1"/>
        <v>1747.5</v>
      </c>
      <c r="E10" s="24">
        <f>'BAREME 2024 TABLEAU  '!B8</f>
        <v>2100</v>
      </c>
      <c r="F10" s="28">
        <f>'BAREME 2024 TABLEAU  '!F8</f>
        <v>0.66666666666666663</v>
      </c>
    </row>
    <row r="11" spans="1:6" ht="15.6" x14ac:dyDescent="0.3">
      <c r="B11" s="23">
        <f t="shared" si="0"/>
        <v>25200</v>
      </c>
      <c r="C11" s="11"/>
      <c r="D11" s="24">
        <f t="shared" si="1"/>
        <v>2100</v>
      </c>
      <c r="E11" s="11"/>
      <c r="F11" s="22" t="s">
        <v>69</v>
      </c>
    </row>
    <row r="12" spans="1:6" x14ac:dyDescent="0.3">
      <c r="B12" s="136" t="str">
        <f>'BAREME 2024 2025 PERSO SEULE '!B12</f>
        <v>A ces plafonds annuels s'ajoutent 1 690 € par personne à charge du débiteur (enfants par exemple), soit 140,83  euros par mois.</v>
      </c>
      <c r="C12" s="137"/>
      <c r="D12" s="137"/>
      <c r="E12" s="137"/>
      <c r="F12" s="137"/>
    </row>
    <row r="13" spans="1:6" x14ac:dyDescent="0.3">
      <c r="B13" s="8"/>
      <c r="C13" s="8"/>
      <c r="D13" s="8"/>
      <c r="E13" s="8"/>
    </row>
    <row r="14" spans="1:6" hidden="1" x14ac:dyDescent="0.3"/>
    <row r="15" spans="1:6" ht="57.6" hidden="1" x14ac:dyDescent="0.3">
      <c r="A15" s="9" t="s">
        <v>14</v>
      </c>
      <c r="B15" s="9" t="s">
        <v>15</v>
      </c>
      <c r="C15" s="9" t="s">
        <v>58</v>
      </c>
      <c r="D15" s="9" t="s">
        <v>45</v>
      </c>
      <c r="E15" s="9" t="s">
        <v>59</v>
      </c>
    </row>
    <row r="16" spans="1:6" hidden="1" x14ac:dyDescent="0.3">
      <c r="A16" s="11">
        <v>1</v>
      </c>
      <c r="B16" s="11" t="s">
        <v>70</v>
      </c>
      <c r="C16" s="11" t="s">
        <v>42</v>
      </c>
      <c r="D16" s="15">
        <v>0.05</v>
      </c>
      <c r="E16" s="11">
        <f>ROUND(313.33*1/20,2)</f>
        <v>15.67</v>
      </c>
    </row>
    <row r="17" spans="1:9" hidden="1" x14ac:dyDescent="0.3">
      <c r="A17" s="11">
        <v>2</v>
      </c>
      <c r="B17" s="11" t="s">
        <v>71</v>
      </c>
      <c r="C17" s="16">
        <v>45.5</v>
      </c>
      <c r="D17" s="15">
        <v>0.1</v>
      </c>
      <c r="E17" s="16">
        <f>ROUND(((611.67 -313.33)*1/10)+E16,2)</f>
        <v>45.5</v>
      </c>
    </row>
    <row r="18" spans="1:9" hidden="1" x14ac:dyDescent="0.3">
      <c r="A18" s="11">
        <v>3</v>
      </c>
      <c r="B18" s="11" t="s">
        <v>72</v>
      </c>
      <c r="C18" s="16">
        <v>105.5</v>
      </c>
      <c r="D18" s="15">
        <v>0.2</v>
      </c>
      <c r="E18" s="16">
        <f>ROUND(((911.67 -611.67)*1/5)+E17,2)</f>
        <v>105.5</v>
      </c>
    </row>
    <row r="19" spans="1:9" hidden="1" x14ac:dyDescent="0.3">
      <c r="A19" s="11">
        <v>4</v>
      </c>
      <c r="B19" s="11" t="s">
        <v>73</v>
      </c>
      <c r="C19" s="16">
        <v>180.29</v>
      </c>
      <c r="D19" s="15">
        <v>0.25</v>
      </c>
      <c r="E19" s="16">
        <f>ROUND(((1210.83-911.67)*1/4)+E18,2)</f>
        <v>180.29</v>
      </c>
    </row>
    <row r="20" spans="1:9" hidden="1" x14ac:dyDescent="0.3">
      <c r="A20" s="11">
        <v>5</v>
      </c>
      <c r="B20" s="11" t="s">
        <v>74</v>
      </c>
      <c r="C20" s="16">
        <v>279.74</v>
      </c>
      <c r="D20" s="15">
        <v>0.33333333333333331</v>
      </c>
      <c r="E20" s="16">
        <f>ROUND(((1509.17-1210.83)*1/3)+E19,2)</f>
        <v>279.74</v>
      </c>
    </row>
    <row r="21" spans="1:9" hidden="1" x14ac:dyDescent="0.3">
      <c r="A21" s="11">
        <v>6</v>
      </c>
      <c r="B21" s="11" t="s">
        <v>75</v>
      </c>
      <c r="C21" s="16">
        <v>482.51</v>
      </c>
      <c r="D21" s="15">
        <v>0.66666666666666663</v>
      </c>
      <c r="E21" s="16">
        <f>ROUND(((1813.33-1509.17)*2/3)+E20,2)</f>
        <v>482.51</v>
      </c>
    </row>
    <row r="22" spans="1:9" ht="28.8" hidden="1" x14ac:dyDescent="0.3">
      <c r="A22" s="11">
        <v>7</v>
      </c>
      <c r="B22" s="11" t="s">
        <v>76</v>
      </c>
      <c r="C22" s="11" t="s">
        <v>43</v>
      </c>
      <c r="D22" s="15" t="s">
        <v>44</v>
      </c>
      <c r="E22" s="10"/>
    </row>
    <row r="23" spans="1:9" x14ac:dyDescent="0.3">
      <c r="F23" s="34"/>
    </row>
    <row r="24" spans="1:9" s="1" customFormat="1" ht="33" customHeight="1" x14ac:dyDescent="0.3">
      <c r="B24" s="133" t="s">
        <v>214</v>
      </c>
      <c r="C24" s="133"/>
      <c r="D24" s="133"/>
      <c r="E24" s="133"/>
      <c r="F24" s="6"/>
      <c r="G24" s="6"/>
      <c r="H24" s="6"/>
    </row>
    <row r="25" spans="1:9" s="1" customFormat="1" ht="60" customHeight="1" x14ac:dyDescent="0.3">
      <c r="B25" s="21"/>
      <c r="C25" s="26" t="s">
        <v>2</v>
      </c>
      <c r="D25" s="26" t="s">
        <v>47</v>
      </c>
      <c r="E25" s="27" t="s">
        <v>48</v>
      </c>
      <c r="H25" s="6"/>
      <c r="I25" s="86"/>
    </row>
    <row r="26" spans="1:9" s="1" customFormat="1" ht="31.5" customHeight="1" x14ac:dyDescent="0.3">
      <c r="B26" s="25">
        <f>E5</f>
        <v>364.17</v>
      </c>
      <c r="C26" s="28">
        <f>1/20</f>
        <v>0.05</v>
      </c>
      <c r="D26" s="25">
        <f>ROUNDDOWN((B26*C26),2)</f>
        <v>18.2</v>
      </c>
      <c r="E26" s="25">
        <f>D26</f>
        <v>18.2</v>
      </c>
      <c r="F26" s="85"/>
      <c r="H26" s="87"/>
      <c r="I26" s="87"/>
    </row>
    <row r="27" spans="1:9" s="1" customFormat="1" ht="31.5" customHeight="1" x14ac:dyDescent="0.3">
      <c r="B27" s="25">
        <f t="shared" ref="B27:B31" si="2">E6</f>
        <v>710</v>
      </c>
      <c r="C27" s="28">
        <v>0.1</v>
      </c>
      <c r="D27" s="25">
        <f>ROUND((B27-B26)*C27,2)</f>
        <v>34.58</v>
      </c>
      <c r="E27" s="25">
        <f>E26+D27</f>
        <v>52.78</v>
      </c>
      <c r="H27" s="87"/>
      <c r="I27" s="87"/>
    </row>
    <row r="28" spans="1:9" s="1" customFormat="1" ht="31.5" customHeight="1" x14ac:dyDescent="0.3">
      <c r="B28" s="25">
        <f t="shared" si="2"/>
        <v>1057.5</v>
      </c>
      <c r="C28" s="28">
        <v>0.2</v>
      </c>
      <c r="D28" s="25">
        <f t="shared" ref="D28:D31" si="3">ROUND((B28-B27)*C28,2)</f>
        <v>69.5</v>
      </c>
      <c r="E28" s="25">
        <f t="shared" ref="E28:E31" si="4">E27+D28</f>
        <v>122.28</v>
      </c>
      <c r="H28" s="87"/>
      <c r="I28" s="87"/>
    </row>
    <row r="29" spans="1:9" s="1" customFormat="1" ht="31.5" customHeight="1" x14ac:dyDescent="0.3">
      <c r="B29" s="25">
        <f t="shared" si="2"/>
        <v>1401.67</v>
      </c>
      <c r="C29" s="28">
        <v>0.25</v>
      </c>
      <c r="D29" s="25">
        <f t="shared" si="3"/>
        <v>86.04</v>
      </c>
      <c r="E29" s="25">
        <f t="shared" si="4"/>
        <v>208.32</v>
      </c>
      <c r="H29" s="87"/>
      <c r="I29" s="87"/>
    </row>
    <row r="30" spans="1:9" s="1" customFormat="1" ht="31.5" customHeight="1" x14ac:dyDescent="0.3">
      <c r="B30" s="25">
        <f t="shared" si="2"/>
        <v>1747.5</v>
      </c>
      <c r="C30" s="28">
        <v>0.33333333333333331</v>
      </c>
      <c r="D30" s="25">
        <f t="shared" si="3"/>
        <v>115.28</v>
      </c>
      <c r="E30" s="25">
        <f t="shared" si="4"/>
        <v>323.60000000000002</v>
      </c>
      <c r="H30" s="87"/>
      <c r="I30" s="87"/>
    </row>
    <row r="31" spans="1:9" s="1" customFormat="1" ht="31.5" customHeight="1" x14ac:dyDescent="0.3">
      <c r="B31" s="25">
        <f t="shared" si="2"/>
        <v>2100</v>
      </c>
      <c r="C31" s="28">
        <v>0.66666666666666663</v>
      </c>
      <c r="D31" s="25">
        <f t="shared" si="3"/>
        <v>235</v>
      </c>
      <c r="E31" s="25">
        <f t="shared" si="4"/>
        <v>558.6</v>
      </c>
      <c r="H31" s="87"/>
      <c r="I31" s="87"/>
    </row>
    <row r="47" spans="2:8" ht="15.75" customHeight="1" x14ac:dyDescent="0.3">
      <c r="B47" s="127" t="s">
        <v>63</v>
      </c>
      <c r="C47" s="127"/>
      <c r="D47" s="127" t="s">
        <v>64</v>
      </c>
      <c r="E47" s="127"/>
      <c r="F47" s="22" t="s">
        <v>65</v>
      </c>
      <c r="G47" s="134" t="s">
        <v>216</v>
      </c>
      <c r="H47" s="134" t="s">
        <v>217</v>
      </c>
    </row>
    <row r="48" spans="2:8" ht="28.2" customHeight="1" x14ac:dyDescent="0.3">
      <c r="B48" s="22" t="s">
        <v>67</v>
      </c>
      <c r="C48" s="22" t="s">
        <v>68</v>
      </c>
      <c r="D48" s="22" t="s">
        <v>67</v>
      </c>
      <c r="E48" s="22" t="s">
        <v>68</v>
      </c>
      <c r="F48" s="22" t="s">
        <v>66</v>
      </c>
      <c r="G48" s="135"/>
      <c r="H48" s="135"/>
    </row>
    <row r="49" spans="1:8" ht="15.6" x14ac:dyDescent="0.3">
      <c r="B49" s="23"/>
      <c r="C49" s="23">
        <v>4440</v>
      </c>
      <c r="D49" s="23"/>
      <c r="E49" s="24">
        <f>ROUND(C49/12,2)</f>
        <v>370</v>
      </c>
      <c r="F49" s="28">
        <f t="shared" ref="F49:F54" si="5">F5</f>
        <v>0.05</v>
      </c>
      <c r="G49" s="24">
        <f>ROUND((E49-D49)*F49,2)</f>
        <v>18.5</v>
      </c>
      <c r="H49" s="24">
        <f>G49</f>
        <v>18.5</v>
      </c>
    </row>
    <row r="50" spans="1:8" ht="15.6" x14ac:dyDescent="0.3">
      <c r="B50" s="23">
        <f>C49</f>
        <v>4440</v>
      </c>
      <c r="C50" s="23">
        <v>8660</v>
      </c>
      <c r="D50" s="24">
        <f>E49</f>
        <v>370</v>
      </c>
      <c r="E50" s="24">
        <f t="shared" ref="E50:E54" si="6">ROUND(C50/12,2)</f>
        <v>721.67</v>
      </c>
      <c r="F50" s="28">
        <f t="shared" si="5"/>
        <v>0.1</v>
      </c>
      <c r="G50" s="24">
        <f t="shared" ref="G50:G54" si="7">ROUND((E50-D50)*F50,2)</f>
        <v>35.17</v>
      </c>
      <c r="H50" s="24">
        <f>H49+G50</f>
        <v>53.67</v>
      </c>
    </row>
    <row r="51" spans="1:8" ht="15.6" x14ac:dyDescent="0.3">
      <c r="B51" s="23">
        <f>+C50</f>
        <v>8660</v>
      </c>
      <c r="C51" s="23">
        <v>12890</v>
      </c>
      <c r="D51" s="24">
        <f t="shared" ref="D51:D55" si="8">E50</f>
        <v>721.67</v>
      </c>
      <c r="E51" s="24">
        <f t="shared" si="6"/>
        <v>1074.17</v>
      </c>
      <c r="F51" s="28">
        <f t="shared" si="5"/>
        <v>0.2</v>
      </c>
      <c r="G51" s="24">
        <f t="shared" si="7"/>
        <v>70.5</v>
      </c>
      <c r="H51" s="24">
        <f t="shared" ref="H51:H54" si="9">H50+G51</f>
        <v>124.17</v>
      </c>
    </row>
    <row r="52" spans="1:8" ht="15.6" x14ac:dyDescent="0.3">
      <c r="B52" s="23">
        <f t="shared" ref="B52:B55" si="10">+C51</f>
        <v>12890</v>
      </c>
      <c r="C52" s="23">
        <v>17090</v>
      </c>
      <c r="D52" s="24">
        <f t="shared" si="8"/>
        <v>1074.17</v>
      </c>
      <c r="E52" s="24">
        <f t="shared" si="6"/>
        <v>1424.17</v>
      </c>
      <c r="F52" s="28">
        <f t="shared" si="5"/>
        <v>0.25</v>
      </c>
      <c r="G52" s="24">
        <f t="shared" si="7"/>
        <v>87.5</v>
      </c>
      <c r="H52" s="24">
        <f t="shared" si="9"/>
        <v>211.67000000000002</v>
      </c>
    </row>
    <row r="53" spans="1:8" ht="15.6" x14ac:dyDescent="0.3">
      <c r="B53" s="23">
        <f t="shared" si="10"/>
        <v>17090</v>
      </c>
      <c r="C53" s="23">
        <v>21300</v>
      </c>
      <c r="D53" s="24">
        <f t="shared" si="8"/>
        <v>1424.17</v>
      </c>
      <c r="E53" s="24">
        <f t="shared" si="6"/>
        <v>1775</v>
      </c>
      <c r="F53" s="28">
        <f t="shared" si="5"/>
        <v>0.33333333333333331</v>
      </c>
      <c r="G53" s="24">
        <f t="shared" si="7"/>
        <v>116.94</v>
      </c>
      <c r="H53" s="24">
        <f t="shared" si="9"/>
        <v>328.61</v>
      </c>
    </row>
    <row r="54" spans="1:8" ht="15.6" x14ac:dyDescent="0.3">
      <c r="B54" s="23">
        <f t="shared" si="10"/>
        <v>21300</v>
      </c>
      <c r="C54" s="23">
        <v>25600</v>
      </c>
      <c r="D54" s="24">
        <f t="shared" si="8"/>
        <v>1775</v>
      </c>
      <c r="E54" s="24">
        <f t="shared" si="6"/>
        <v>2133.33</v>
      </c>
      <c r="F54" s="28">
        <f t="shared" si="5"/>
        <v>0.66666666666666663</v>
      </c>
      <c r="G54" s="24">
        <f t="shared" si="7"/>
        <v>238.89</v>
      </c>
      <c r="H54" s="24">
        <f t="shared" si="9"/>
        <v>567.5</v>
      </c>
    </row>
    <row r="55" spans="1:8" ht="15.6" x14ac:dyDescent="0.3">
      <c r="B55" s="23">
        <f t="shared" si="10"/>
        <v>25600</v>
      </c>
      <c r="C55" s="11"/>
      <c r="D55" s="24">
        <f t="shared" si="8"/>
        <v>2133.33</v>
      </c>
      <c r="E55" s="24"/>
      <c r="F55" s="22" t="s">
        <v>69</v>
      </c>
      <c r="G55" s="10"/>
    </row>
    <row r="56" spans="1:8" x14ac:dyDescent="0.3">
      <c r="B56" s="10" t="s">
        <v>218</v>
      </c>
      <c r="C56" s="10"/>
      <c r="D56" s="10"/>
      <c r="E56" s="10"/>
    </row>
    <row r="57" spans="1:8" ht="13.8" customHeight="1" x14ac:dyDescent="0.3">
      <c r="B57" s="8"/>
      <c r="C57" s="8"/>
      <c r="D57" s="8"/>
      <c r="E57" s="8"/>
    </row>
    <row r="58" spans="1:8" hidden="1" x14ac:dyDescent="0.3"/>
    <row r="59" spans="1:8" ht="57.6" hidden="1" x14ac:dyDescent="0.3">
      <c r="A59" s="9" t="s">
        <v>14</v>
      </c>
      <c r="B59" s="9" t="s">
        <v>15</v>
      </c>
      <c r="C59" s="9" t="s">
        <v>58</v>
      </c>
      <c r="D59" s="9" t="s">
        <v>45</v>
      </c>
      <c r="E59" s="9" t="s">
        <v>59</v>
      </c>
    </row>
    <row r="60" spans="1:8" hidden="1" x14ac:dyDescent="0.3">
      <c r="A60" s="11">
        <v>1</v>
      </c>
      <c r="B60" s="11" t="s">
        <v>70</v>
      </c>
      <c r="C60" s="11" t="s">
        <v>42</v>
      </c>
      <c r="D60" s="15">
        <v>0.05</v>
      </c>
      <c r="E60" s="11">
        <f>ROUND(313.33*1/20,2)</f>
        <v>15.67</v>
      </c>
    </row>
    <row r="61" spans="1:8" hidden="1" x14ac:dyDescent="0.3">
      <c r="A61" s="11">
        <v>2</v>
      </c>
      <c r="B61" s="11" t="s">
        <v>71</v>
      </c>
      <c r="C61" s="16">
        <v>45.5</v>
      </c>
      <c r="D61" s="15">
        <v>0.1</v>
      </c>
      <c r="E61" s="16">
        <f>ROUND(((611.67 -313.33)*1/10)+E60,2)</f>
        <v>45.5</v>
      </c>
    </row>
    <row r="62" spans="1:8" hidden="1" x14ac:dyDescent="0.3">
      <c r="A62" s="11">
        <v>3</v>
      </c>
      <c r="B62" s="11" t="s">
        <v>72</v>
      </c>
      <c r="C62" s="16">
        <v>105.5</v>
      </c>
      <c r="D62" s="15">
        <v>0.2</v>
      </c>
      <c r="E62" s="16">
        <f>ROUND(((911.67 -611.67)*1/5)+E61,2)</f>
        <v>105.5</v>
      </c>
    </row>
    <row r="63" spans="1:8" hidden="1" x14ac:dyDescent="0.3">
      <c r="A63" s="11">
        <v>4</v>
      </c>
      <c r="B63" s="11" t="s">
        <v>73</v>
      </c>
      <c r="C63" s="16">
        <v>180.29</v>
      </c>
      <c r="D63" s="15">
        <v>0.25</v>
      </c>
      <c r="E63" s="16">
        <f>ROUND(((1210.83-911.67)*1/4)+E62,2)</f>
        <v>180.29</v>
      </c>
    </row>
    <row r="64" spans="1:8" hidden="1" x14ac:dyDescent="0.3">
      <c r="A64" s="11">
        <v>5</v>
      </c>
      <c r="B64" s="11" t="s">
        <v>74</v>
      </c>
      <c r="C64" s="16">
        <v>279.74</v>
      </c>
      <c r="D64" s="15">
        <v>0.33333333333333331</v>
      </c>
      <c r="E64" s="16">
        <f>ROUND(((1509.17-1210.83)*1/3)+E63,2)</f>
        <v>279.74</v>
      </c>
    </row>
    <row r="65" spans="1:9" hidden="1" x14ac:dyDescent="0.3">
      <c r="A65" s="11">
        <v>6</v>
      </c>
      <c r="B65" s="11" t="s">
        <v>75</v>
      </c>
      <c r="C65" s="16">
        <v>482.51</v>
      </c>
      <c r="D65" s="15">
        <v>0.66666666666666663</v>
      </c>
      <c r="E65" s="16">
        <f>ROUND(((1813.33-1509.17)*2/3)+E64,2)</f>
        <v>482.51</v>
      </c>
    </row>
    <row r="66" spans="1:9" ht="28.8" hidden="1" x14ac:dyDescent="0.3">
      <c r="A66" s="11">
        <v>7</v>
      </c>
      <c r="B66" s="11" t="s">
        <v>76</v>
      </c>
      <c r="C66" s="11" t="s">
        <v>43</v>
      </c>
      <c r="D66" s="15" t="s">
        <v>44</v>
      </c>
      <c r="E66" s="10"/>
    </row>
    <row r="67" spans="1:9" hidden="1" x14ac:dyDescent="0.3">
      <c r="F67" s="34"/>
    </row>
    <row r="68" spans="1:9" s="1" customFormat="1" ht="30" customHeight="1" x14ac:dyDescent="0.3">
      <c r="B68" s="133" t="s">
        <v>215</v>
      </c>
      <c r="C68" s="133"/>
      <c r="D68" s="133"/>
      <c r="E68" s="133"/>
      <c r="F68" s="6"/>
      <c r="G68" s="112"/>
      <c r="H68" s="6"/>
    </row>
    <row r="69" spans="1:9" s="1" customFormat="1" ht="60" customHeight="1" x14ac:dyDescent="0.3">
      <c r="B69" s="21"/>
      <c r="C69" s="26" t="s">
        <v>2</v>
      </c>
      <c r="D69" s="26" t="s">
        <v>47</v>
      </c>
      <c r="E69" s="27" t="s">
        <v>48</v>
      </c>
      <c r="H69" s="6"/>
      <c r="I69" s="86"/>
    </row>
    <row r="70" spans="1:9" s="1" customFormat="1" ht="31.5" customHeight="1" x14ac:dyDescent="0.3">
      <c r="B70" s="25">
        <f t="shared" ref="B70:B75" si="11">E49</f>
        <v>370</v>
      </c>
      <c r="C70" s="28">
        <f>1/20</f>
        <v>0.05</v>
      </c>
      <c r="D70" s="25">
        <f>ROUNDDOWN((B70*C70),2)</f>
        <v>18.5</v>
      </c>
      <c r="E70" s="25">
        <f>D70</f>
        <v>18.5</v>
      </c>
      <c r="F70" s="85"/>
      <c r="H70" s="87"/>
      <c r="I70" s="87"/>
    </row>
    <row r="71" spans="1:9" s="1" customFormat="1" ht="31.5" customHeight="1" x14ac:dyDescent="0.3">
      <c r="B71" s="25">
        <f t="shared" si="11"/>
        <v>721.67</v>
      </c>
      <c r="C71" s="28">
        <v>0.1</v>
      </c>
      <c r="D71" s="25">
        <f>ROUND((B71-B70)*C71,2)</f>
        <v>35.17</v>
      </c>
      <c r="E71" s="25">
        <f>E70+D71</f>
        <v>53.67</v>
      </c>
      <c r="H71" s="87"/>
      <c r="I71" s="87"/>
    </row>
    <row r="72" spans="1:9" s="1" customFormat="1" ht="31.5" customHeight="1" x14ac:dyDescent="0.3">
      <c r="B72" s="25">
        <f t="shared" si="11"/>
        <v>1074.17</v>
      </c>
      <c r="C72" s="28">
        <v>0.2</v>
      </c>
      <c r="D72" s="25">
        <f t="shared" ref="D72:D75" si="12">ROUND((B72-B71)*C72,2)</f>
        <v>70.5</v>
      </c>
      <c r="E72" s="25">
        <f t="shared" ref="E72:E75" si="13">E71+D72</f>
        <v>124.17</v>
      </c>
      <c r="H72" s="87"/>
      <c r="I72" s="87"/>
    </row>
    <row r="73" spans="1:9" s="1" customFormat="1" ht="31.5" customHeight="1" x14ac:dyDescent="0.3">
      <c r="B73" s="25">
        <f t="shared" si="11"/>
        <v>1424.17</v>
      </c>
      <c r="C73" s="28">
        <v>0.25</v>
      </c>
      <c r="D73" s="25">
        <f t="shared" si="12"/>
        <v>87.5</v>
      </c>
      <c r="E73" s="25">
        <f t="shared" si="13"/>
        <v>211.67000000000002</v>
      </c>
      <c r="H73" s="87"/>
      <c r="I73" s="87"/>
    </row>
    <row r="74" spans="1:9" s="1" customFormat="1" ht="31.5" customHeight="1" x14ac:dyDescent="0.3">
      <c r="B74" s="25">
        <f t="shared" si="11"/>
        <v>1775</v>
      </c>
      <c r="C74" s="28">
        <v>0.33333333333333331</v>
      </c>
      <c r="D74" s="25">
        <f t="shared" si="12"/>
        <v>116.94</v>
      </c>
      <c r="E74" s="25">
        <f t="shared" si="13"/>
        <v>328.61</v>
      </c>
      <c r="H74" s="87"/>
      <c r="I74" s="87"/>
    </row>
    <row r="75" spans="1:9" s="1" customFormat="1" ht="31.5" customHeight="1" x14ac:dyDescent="0.3">
      <c r="B75" s="25">
        <f t="shared" si="11"/>
        <v>2133.33</v>
      </c>
      <c r="C75" s="28">
        <v>0.66666666666666663</v>
      </c>
      <c r="D75" s="25">
        <f t="shared" si="12"/>
        <v>238.89</v>
      </c>
      <c r="E75" s="25">
        <f t="shared" si="13"/>
        <v>567.5</v>
      </c>
      <c r="H75" s="87"/>
      <c r="I75" s="87"/>
    </row>
  </sheetData>
  <mergeCells count="9">
    <mergeCell ref="B68:E68"/>
    <mergeCell ref="G47:G48"/>
    <mergeCell ref="H47:H48"/>
    <mergeCell ref="B3:C3"/>
    <mergeCell ref="D3:E3"/>
    <mergeCell ref="B24:E24"/>
    <mergeCell ref="B47:C47"/>
    <mergeCell ref="D47:E47"/>
    <mergeCell ref="B12:F1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45DCC-5A75-4843-B6AB-06364737938F}">
  <dimension ref="A2:H90"/>
  <sheetViews>
    <sheetView topLeftCell="A20" zoomScale="112" zoomScaleNormal="130" workbookViewId="0">
      <selection activeCell="A36" sqref="A36:XFD36"/>
    </sheetView>
  </sheetViews>
  <sheetFormatPr baseColWidth="10" defaultRowHeight="14.4" x14ac:dyDescent="0.3"/>
  <cols>
    <col min="1" max="6" width="13.33203125" customWidth="1"/>
    <col min="7" max="7" width="19.109375" customWidth="1"/>
    <col min="8" max="8" width="20.88671875" customWidth="1"/>
  </cols>
  <sheetData>
    <row r="2" spans="1:8" s="1" customFormat="1" ht="25.2" customHeight="1" x14ac:dyDescent="0.3">
      <c r="B2" s="142" t="s">
        <v>220</v>
      </c>
      <c r="C2" s="142"/>
      <c r="D2" s="142"/>
      <c r="E2" s="142"/>
      <c r="F2" s="142"/>
      <c r="G2" s="142"/>
      <c r="H2" s="142"/>
    </row>
    <row r="3" spans="1:8" s="1" customFormat="1" ht="22.2" customHeight="1" x14ac:dyDescent="0.3">
      <c r="B3" s="109"/>
      <c r="C3" s="109"/>
      <c r="D3" s="109"/>
      <c r="E3" s="109"/>
      <c r="F3" s="109"/>
      <c r="G3" s="109"/>
      <c r="H3" s="109"/>
    </row>
    <row r="4" spans="1:8" s="1" customFormat="1" ht="30" customHeight="1" x14ac:dyDescent="0.3">
      <c r="B4" s="6"/>
      <c r="C4" s="138" t="s">
        <v>80</v>
      </c>
      <c r="D4" s="138"/>
      <c r="E4" s="138"/>
      <c r="F4" s="138"/>
      <c r="G4" s="138"/>
      <c r="H4" s="138"/>
    </row>
    <row r="5" spans="1:8" s="1" customFormat="1" ht="60.75" customHeight="1" x14ac:dyDescent="0.3">
      <c r="A5" s="139" t="s">
        <v>61</v>
      </c>
      <c r="B5" s="139"/>
      <c r="C5" s="140" t="s">
        <v>79</v>
      </c>
      <c r="D5" s="141"/>
      <c r="E5" s="7" t="s">
        <v>13</v>
      </c>
      <c r="F5" s="17" t="s">
        <v>2</v>
      </c>
      <c r="G5" s="17" t="s">
        <v>47</v>
      </c>
      <c r="H5" s="17" t="s">
        <v>78</v>
      </c>
    </row>
    <row r="6" spans="1:8" s="1" customFormat="1" ht="33" customHeight="1" x14ac:dyDescent="0.3">
      <c r="A6" s="7">
        <v>0</v>
      </c>
      <c r="B6" s="18">
        <f>'BAREME 2024 TABLEAU  '!B3</f>
        <v>364.17</v>
      </c>
      <c r="C6" s="18"/>
      <c r="D6" s="18"/>
      <c r="E6" s="18">
        <v>140.83000000000001</v>
      </c>
      <c r="F6" s="115">
        <f>'BAREME 2024 TABLEAU  '!F3</f>
        <v>0.05</v>
      </c>
      <c r="G6" s="20"/>
      <c r="H6" s="20"/>
    </row>
    <row r="7" spans="1:8" s="1" customFormat="1" ht="33" customHeight="1" x14ac:dyDescent="0.3">
      <c r="A7" s="19">
        <f>B6</f>
        <v>364.17</v>
      </c>
      <c r="B7" s="18">
        <f>'BAREME 2024 TABLEAU  '!B4</f>
        <v>710</v>
      </c>
      <c r="C7" s="18">
        <f>D6</f>
        <v>0</v>
      </c>
      <c r="D7" s="18"/>
      <c r="E7" s="18">
        <v>140.83000000000001</v>
      </c>
      <c r="F7" s="115">
        <f>'BAREME 2024 TABLEAU  '!F4</f>
        <v>0.1</v>
      </c>
      <c r="G7" s="20"/>
      <c r="H7" s="20"/>
    </row>
    <row r="8" spans="1:8" s="1" customFormat="1" ht="33" customHeight="1" x14ac:dyDescent="0.3">
      <c r="A8" s="19">
        <f t="shared" ref="A8:A11" si="0">B7</f>
        <v>710</v>
      </c>
      <c r="B8" s="18">
        <f>'BAREME 2024 TABLEAU  '!B5</f>
        <v>1057.5</v>
      </c>
      <c r="C8" s="18">
        <f t="shared" ref="C8:C11" si="1">D7</f>
        <v>0</v>
      </c>
      <c r="D8" s="18"/>
      <c r="E8" s="18">
        <v>140.83000000000001</v>
      </c>
      <c r="F8" s="115">
        <f>'BAREME 2024 TABLEAU  '!F5</f>
        <v>0.2</v>
      </c>
      <c r="G8" s="20"/>
      <c r="H8" s="20"/>
    </row>
    <row r="9" spans="1:8" s="1" customFormat="1" ht="33" customHeight="1" x14ac:dyDescent="0.3">
      <c r="A9" s="19">
        <f t="shared" si="0"/>
        <v>1057.5</v>
      </c>
      <c r="B9" s="18">
        <f>'BAREME 2024 TABLEAU  '!B6</f>
        <v>1401.67</v>
      </c>
      <c r="C9" s="18">
        <f t="shared" si="1"/>
        <v>0</v>
      </c>
      <c r="D9" s="18"/>
      <c r="E9" s="18">
        <v>140.83000000000001</v>
      </c>
      <c r="F9" s="115">
        <f>'BAREME 2024 TABLEAU  '!F6</f>
        <v>0.25</v>
      </c>
      <c r="G9" s="20"/>
      <c r="H9" s="20"/>
    </row>
    <row r="10" spans="1:8" s="1" customFormat="1" ht="33" customHeight="1" x14ac:dyDescent="0.3">
      <c r="A10" s="19">
        <f t="shared" si="0"/>
        <v>1401.67</v>
      </c>
      <c r="B10" s="18">
        <f>'BAREME 2024 TABLEAU  '!B7</f>
        <v>1747.5</v>
      </c>
      <c r="C10" s="18">
        <f t="shared" si="1"/>
        <v>0</v>
      </c>
      <c r="D10" s="18"/>
      <c r="E10" s="18">
        <v>140.83000000000001</v>
      </c>
      <c r="F10" s="115">
        <f>'BAREME 2024 TABLEAU  '!F7</f>
        <v>0.33333333333333331</v>
      </c>
      <c r="G10" s="20"/>
      <c r="H10" s="20"/>
    </row>
    <row r="11" spans="1:8" s="1" customFormat="1" ht="33" customHeight="1" x14ac:dyDescent="0.3">
      <c r="A11" s="19">
        <f t="shared" si="0"/>
        <v>1747.5</v>
      </c>
      <c r="B11" s="18">
        <f>'BAREME 2024 TABLEAU  '!B8</f>
        <v>2100</v>
      </c>
      <c r="C11" s="18">
        <f t="shared" si="1"/>
        <v>0</v>
      </c>
      <c r="D11" s="18"/>
      <c r="E11" s="18">
        <v>140.83000000000001</v>
      </c>
      <c r="F11" s="115">
        <f>'BAREME 2024 TABLEAU  '!F8</f>
        <v>0.66666666666666663</v>
      </c>
      <c r="G11" s="20"/>
      <c r="H11" s="20"/>
    </row>
    <row r="12" spans="1:8" s="1" customFormat="1" ht="15.6" x14ac:dyDescent="0.3">
      <c r="A12" s="143" t="str">
        <f>'C BAREME 2024 2025 PERS SEULE  '!B12</f>
        <v>A ces plafonds annuels s'ajoutent 1 690 € par personne à charge du débiteur (enfants par exemple), soit 140,83  euros par mois.</v>
      </c>
      <c r="B12" s="144"/>
      <c r="C12" s="144"/>
      <c r="D12" s="144"/>
      <c r="E12" s="144"/>
      <c r="F12" s="144"/>
      <c r="G12" s="144"/>
      <c r="H12" s="145"/>
    </row>
    <row r="14" spans="1:8" hidden="1" x14ac:dyDescent="0.3"/>
    <row r="15" spans="1:8" s="1" customFormat="1" ht="30" customHeight="1" x14ac:dyDescent="0.3">
      <c r="B15" s="6"/>
      <c r="C15" s="138" t="s">
        <v>62</v>
      </c>
      <c r="D15" s="138"/>
      <c r="E15" s="138"/>
      <c r="F15" s="138"/>
      <c r="G15" s="138"/>
      <c r="H15" s="138"/>
    </row>
    <row r="16" spans="1:8" s="1" customFormat="1" ht="60.75" customHeight="1" x14ac:dyDescent="0.3">
      <c r="A16" s="139" t="s">
        <v>61</v>
      </c>
      <c r="B16" s="139"/>
      <c r="C16" s="140" t="s">
        <v>77</v>
      </c>
      <c r="D16" s="141"/>
      <c r="E16" s="7" t="s">
        <v>13</v>
      </c>
      <c r="F16" s="17" t="s">
        <v>2</v>
      </c>
      <c r="G16" s="17" t="s">
        <v>47</v>
      </c>
      <c r="H16" s="17" t="s">
        <v>78</v>
      </c>
    </row>
    <row r="17" spans="1:8" s="1" customFormat="1" ht="33" customHeight="1" x14ac:dyDescent="0.3">
      <c r="A17" s="7">
        <f t="shared" ref="A17:B22" si="2">A6</f>
        <v>0</v>
      </c>
      <c r="B17" s="18">
        <f t="shared" si="2"/>
        <v>364.17</v>
      </c>
      <c r="C17" s="18"/>
      <c r="D17" s="18"/>
      <c r="E17" s="18">
        <f>140.83*2</f>
        <v>281.66000000000003</v>
      </c>
      <c r="F17" s="115">
        <f>+F6</f>
        <v>0.05</v>
      </c>
      <c r="G17" s="20"/>
      <c r="H17" s="20"/>
    </row>
    <row r="18" spans="1:8" s="1" customFormat="1" ht="33" customHeight="1" x14ac:dyDescent="0.3">
      <c r="A18" s="7">
        <f t="shared" si="2"/>
        <v>364.17</v>
      </c>
      <c r="B18" s="18">
        <f t="shared" si="2"/>
        <v>710</v>
      </c>
      <c r="C18" s="18"/>
      <c r="D18" s="18"/>
      <c r="E18" s="18">
        <f t="shared" ref="E18:E22" si="3">140.83*2</f>
        <v>281.66000000000003</v>
      </c>
      <c r="F18" s="115">
        <f t="shared" ref="F18:F22" si="4">+F7</f>
        <v>0.1</v>
      </c>
      <c r="G18" s="20"/>
      <c r="H18" s="20"/>
    </row>
    <row r="19" spans="1:8" s="1" customFormat="1" ht="33" customHeight="1" x14ac:dyDescent="0.3">
      <c r="A19" s="7">
        <f t="shared" si="2"/>
        <v>710</v>
      </c>
      <c r="B19" s="18">
        <f t="shared" si="2"/>
        <v>1057.5</v>
      </c>
      <c r="C19" s="18"/>
      <c r="D19" s="18"/>
      <c r="E19" s="18">
        <f t="shared" si="3"/>
        <v>281.66000000000003</v>
      </c>
      <c r="F19" s="115">
        <f t="shared" si="4"/>
        <v>0.2</v>
      </c>
      <c r="G19" s="20"/>
      <c r="H19" s="20"/>
    </row>
    <row r="20" spans="1:8" s="1" customFormat="1" ht="33" customHeight="1" x14ac:dyDescent="0.3">
      <c r="A20" s="7">
        <f t="shared" si="2"/>
        <v>1057.5</v>
      </c>
      <c r="B20" s="18">
        <f t="shared" si="2"/>
        <v>1401.67</v>
      </c>
      <c r="C20" s="18"/>
      <c r="D20" s="18"/>
      <c r="E20" s="18">
        <f t="shared" si="3"/>
        <v>281.66000000000003</v>
      </c>
      <c r="F20" s="115">
        <f t="shared" si="4"/>
        <v>0.25</v>
      </c>
      <c r="G20" s="20"/>
      <c r="H20" s="20"/>
    </row>
    <row r="21" spans="1:8" s="1" customFormat="1" ht="33" customHeight="1" x14ac:dyDescent="0.3">
      <c r="A21" s="7">
        <f t="shared" si="2"/>
        <v>1401.67</v>
      </c>
      <c r="B21" s="18">
        <f t="shared" si="2"/>
        <v>1747.5</v>
      </c>
      <c r="C21" s="18"/>
      <c r="D21" s="18"/>
      <c r="E21" s="18">
        <f t="shared" si="3"/>
        <v>281.66000000000003</v>
      </c>
      <c r="F21" s="115">
        <f t="shared" si="4"/>
        <v>0.33333333333333331</v>
      </c>
      <c r="G21" s="20"/>
      <c r="H21" s="20"/>
    </row>
    <row r="22" spans="1:8" s="1" customFormat="1" ht="33" customHeight="1" x14ac:dyDescent="0.3">
      <c r="A22" s="7">
        <f t="shared" si="2"/>
        <v>1747.5</v>
      </c>
      <c r="B22" s="18">
        <f t="shared" si="2"/>
        <v>2100</v>
      </c>
      <c r="C22" s="18"/>
      <c r="D22" s="18"/>
      <c r="E22" s="18">
        <f t="shared" si="3"/>
        <v>281.66000000000003</v>
      </c>
      <c r="F22" s="115">
        <f t="shared" si="4"/>
        <v>0.66666666666666663</v>
      </c>
      <c r="G22" s="20"/>
      <c r="H22" s="20"/>
    </row>
    <row r="23" spans="1:8" s="1" customFormat="1" ht="15.6" x14ac:dyDescent="0.3">
      <c r="A23" s="10" t="s">
        <v>173</v>
      </c>
      <c r="B23" s="10"/>
      <c r="C23" s="10"/>
      <c r="D23" s="10"/>
      <c r="E23" s="3"/>
      <c r="F23" s="3"/>
      <c r="G23" s="3"/>
      <c r="H23" s="3"/>
    </row>
    <row r="26" spans="1:8" s="1" customFormat="1" ht="30" customHeight="1" x14ac:dyDescent="0.3">
      <c r="B26" s="6"/>
      <c r="C26" s="138" t="s">
        <v>82</v>
      </c>
      <c r="D26" s="138"/>
      <c r="E26" s="138"/>
      <c r="F26" s="138"/>
      <c r="G26" s="138"/>
      <c r="H26" s="138"/>
    </row>
    <row r="27" spans="1:8" s="1" customFormat="1" ht="60.75" customHeight="1" x14ac:dyDescent="0.3">
      <c r="A27" s="139" t="s">
        <v>61</v>
      </c>
      <c r="B27" s="139"/>
      <c r="C27" s="140" t="s">
        <v>83</v>
      </c>
      <c r="D27" s="141"/>
      <c r="E27" s="7" t="s">
        <v>13</v>
      </c>
      <c r="F27" s="17" t="s">
        <v>2</v>
      </c>
      <c r="G27" s="17" t="s">
        <v>47</v>
      </c>
      <c r="H27" s="17" t="s">
        <v>78</v>
      </c>
    </row>
    <row r="28" spans="1:8" s="1" customFormat="1" ht="33" customHeight="1" x14ac:dyDescent="0.3">
      <c r="A28" s="7">
        <f>A17</f>
        <v>0</v>
      </c>
      <c r="B28" s="18">
        <f>B17</f>
        <v>364.17</v>
      </c>
      <c r="C28" s="18"/>
      <c r="D28" s="18"/>
      <c r="E28" s="18">
        <f>4*E6</f>
        <v>563.32000000000005</v>
      </c>
      <c r="F28" s="115">
        <v>0.05</v>
      </c>
      <c r="G28" s="20"/>
      <c r="H28" s="20"/>
    </row>
    <row r="29" spans="1:8" s="1" customFormat="1" ht="33" customHeight="1" x14ac:dyDescent="0.3">
      <c r="A29" s="7">
        <f t="shared" ref="A29:B29" si="5">A18</f>
        <v>364.17</v>
      </c>
      <c r="B29" s="18">
        <f t="shared" si="5"/>
        <v>710</v>
      </c>
      <c r="C29" s="18"/>
      <c r="D29" s="18"/>
      <c r="E29" s="18">
        <f t="shared" ref="E29:E33" si="6">140.83*4</f>
        <v>563.32000000000005</v>
      </c>
      <c r="F29" s="115">
        <v>0.1</v>
      </c>
      <c r="G29" s="20"/>
      <c r="H29" s="20"/>
    </row>
    <row r="30" spans="1:8" s="1" customFormat="1" ht="33" customHeight="1" x14ac:dyDescent="0.3">
      <c r="A30" s="7">
        <f t="shared" ref="A30:B30" si="7">A19</f>
        <v>710</v>
      </c>
      <c r="B30" s="18">
        <f t="shared" si="7"/>
        <v>1057.5</v>
      </c>
      <c r="C30" s="18"/>
      <c r="D30" s="18"/>
      <c r="E30" s="18">
        <f t="shared" si="6"/>
        <v>563.32000000000005</v>
      </c>
      <c r="F30" s="115">
        <v>0.2</v>
      </c>
      <c r="G30" s="20"/>
      <c r="H30" s="20"/>
    </row>
    <row r="31" spans="1:8" s="1" customFormat="1" ht="33" customHeight="1" x14ac:dyDescent="0.3">
      <c r="A31" s="7">
        <f t="shared" ref="A31:B31" si="8">A20</f>
        <v>1057.5</v>
      </c>
      <c r="B31" s="18">
        <f t="shared" si="8"/>
        <v>1401.67</v>
      </c>
      <c r="C31" s="18"/>
      <c r="D31" s="18"/>
      <c r="E31" s="18">
        <f t="shared" si="6"/>
        <v>563.32000000000005</v>
      </c>
      <c r="F31" s="115">
        <v>0.25</v>
      </c>
      <c r="G31" s="20"/>
      <c r="H31" s="20"/>
    </row>
    <row r="32" spans="1:8" s="1" customFormat="1" ht="33" customHeight="1" x14ac:dyDescent="0.3">
      <c r="A32" s="7">
        <f t="shared" ref="A32:B32" si="9">A21</f>
        <v>1401.67</v>
      </c>
      <c r="B32" s="18">
        <f t="shared" si="9"/>
        <v>1747.5</v>
      </c>
      <c r="C32" s="18"/>
      <c r="D32" s="18"/>
      <c r="E32" s="18">
        <f t="shared" si="6"/>
        <v>563.32000000000005</v>
      </c>
      <c r="F32" s="115">
        <v>0.33333333333333331</v>
      </c>
      <c r="G32" s="20"/>
      <c r="H32" s="20"/>
    </row>
    <row r="33" spans="1:8" s="1" customFormat="1" ht="33" customHeight="1" x14ac:dyDescent="0.3">
      <c r="A33" s="7">
        <f t="shared" ref="A33:B33" si="10">A22</f>
        <v>1747.5</v>
      </c>
      <c r="B33" s="18">
        <f t="shared" si="10"/>
        <v>2100</v>
      </c>
      <c r="C33" s="18"/>
      <c r="D33" s="18"/>
      <c r="E33" s="18">
        <f t="shared" si="6"/>
        <v>563.32000000000005</v>
      </c>
      <c r="F33" s="115">
        <v>0.66666666666666663</v>
      </c>
      <c r="G33" s="20"/>
      <c r="H33" s="20"/>
    </row>
    <row r="34" spans="1:8" s="1" customFormat="1" ht="15.6" x14ac:dyDescent="0.3">
      <c r="A34" s="10" t="s">
        <v>173</v>
      </c>
      <c r="B34" s="10"/>
      <c r="C34" s="10"/>
      <c r="D34" s="10"/>
      <c r="E34" s="3"/>
      <c r="F34" s="3"/>
      <c r="G34" s="3"/>
      <c r="H34" s="3"/>
    </row>
    <row r="58" spans="1:8" s="1" customFormat="1" ht="25.2" customHeight="1" x14ac:dyDescent="0.3">
      <c r="B58" s="142" t="s">
        <v>219</v>
      </c>
      <c r="C58" s="142"/>
      <c r="D58" s="142"/>
      <c r="E58" s="142"/>
      <c r="F58" s="142"/>
      <c r="G58" s="142"/>
      <c r="H58" s="142"/>
    </row>
    <row r="59" spans="1:8" s="1" customFormat="1" ht="22.2" customHeight="1" x14ac:dyDescent="0.3">
      <c r="B59" s="109"/>
      <c r="C59" s="109"/>
      <c r="D59" s="109"/>
      <c r="E59" s="109"/>
      <c r="F59" s="109"/>
      <c r="G59" s="109"/>
      <c r="H59" s="109"/>
    </row>
    <row r="60" spans="1:8" s="1" customFormat="1" ht="30" customHeight="1" x14ac:dyDescent="0.3">
      <c r="B60" s="6"/>
      <c r="C60" s="138" t="s">
        <v>231</v>
      </c>
      <c r="D60" s="138"/>
      <c r="E60" s="138"/>
      <c r="F60" s="138"/>
      <c r="G60" s="138"/>
      <c r="H60" s="138"/>
    </row>
    <row r="61" spans="1:8" s="1" customFormat="1" ht="60.75" customHeight="1" x14ac:dyDescent="0.3">
      <c r="A61" s="139" t="s">
        <v>61</v>
      </c>
      <c r="B61" s="139"/>
      <c r="C61" s="140" t="s">
        <v>79</v>
      </c>
      <c r="D61" s="141"/>
      <c r="E61" s="7" t="s">
        <v>13</v>
      </c>
      <c r="F61" s="17" t="s">
        <v>2</v>
      </c>
      <c r="G61" s="17" t="s">
        <v>47</v>
      </c>
      <c r="H61" s="17" t="s">
        <v>78</v>
      </c>
    </row>
    <row r="62" spans="1:8" s="1" customFormat="1" ht="33" customHeight="1" x14ac:dyDescent="0.3">
      <c r="A62" s="7">
        <v>0</v>
      </c>
      <c r="B62" s="18">
        <f>+'C BAREME 2024 2025 PERS SEULE  '!B70</f>
        <v>370</v>
      </c>
      <c r="C62" s="18"/>
      <c r="D62" s="18"/>
      <c r="E62" s="18">
        <v>143.33000000000001</v>
      </c>
      <c r="F62" s="115">
        <f>+'C BAREME 2024 2025 PERS SEULE  '!C70</f>
        <v>0.05</v>
      </c>
      <c r="G62" s="20"/>
      <c r="H62" s="20">
        <f>+G62</f>
        <v>0</v>
      </c>
    </row>
    <row r="63" spans="1:8" s="1" customFormat="1" ht="33" customHeight="1" x14ac:dyDescent="0.3">
      <c r="A63" s="19">
        <f>B62</f>
        <v>370</v>
      </c>
      <c r="B63" s="18">
        <f>+'C BAREME 2024 2025 PERS SEULE  '!B71</f>
        <v>721.67</v>
      </c>
      <c r="C63" s="18">
        <f>+D62</f>
        <v>0</v>
      </c>
      <c r="D63" s="18"/>
      <c r="E63" s="18">
        <v>143.33000000000001</v>
      </c>
      <c r="F63" s="115">
        <f>+'C BAREME 2024 2025 PERS SEULE  '!C71</f>
        <v>0.1</v>
      </c>
      <c r="G63" s="20"/>
      <c r="H63" s="20">
        <f>H62+G63</f>
        <v>0</v>
      </c>
    </row>
    <row r="64" spans="1:8" s="1" customFormat="1" ht="33" customHeight="1" x14ac:dyDescent="0.3">
      <c r="A64" s="19">
        <f t="shared" ref="A64:A67" si="11">B63</f>
        <v>721.67</v>
      </c>
      <c r="B64" s="18">
        <f>+'C BAREME 2024 2025 PERS SEULE  '!B72</f>
        <v>1074.17</v>
      </c>
      <c r="C64" s="18">
        <f t="shared" ref="C64:C67" si="12">+D63</f>
        <v>0</v>
      </c>
      <c r="D64" s="18"/>
      <c r="E64" s="18">
        <v>143.33000000000001</v>
      </c>
      <c r="F64" s="115">
        <f>+'C BAREME 2024 2025 PERS SEULE  '!C72</f>
        <v>0.2</v>
      </c>
      <c r="G64" s="20"/>
      <c r="H64" s="20">
        <f t="shared" ref="H64:H67" si="13">H63+G64</f>
        <v>0</v>
      </c>
    </row>
    <row r="65" spans="1:8" s="1" customFormat="1" ht="33" customHeight="1" x14ac:dyDescent="0.3">
      <c r="A65" s="19">
        <f t="shared" si="11"/>
        <v>1074.17</v>
      </c>
      <c r="B65" s="18">
        <f>+'C BAREME 2024 2025 PERS SEULE  '!B73</f>
        <v>1424.17</v>
      </c>
      <c r="C65" s="18">
        <f t="shared" si="12"/>
        <v>0</v>
      </c>
      <c r="D65" s="18"/>
      <c r="E65" s="18">
        <v>143.33000000000001</v>
      </c>
      <c r="F65" s="115">
        <f>+'C BAREME 2024 2025 PERS SEULE  '!C73</f>
        <v>0.25</v>
      </c>
      <c r="G65" s="20"/>
      <c r="H65" s="20">
        <f t="shared" si="13"/>
        <v>0</v>
      </c>
    </row>
    <row r="66" spans="1:8" s="1" customFormat="1" ht="33" customHeight="1" x14ac:dyDescent="0.3">
      <c r="A66" s="19">
        <f t="shared" si="11"/>
        <v>1424.17</v>
      </c>
      <c r="B66" s="18">
        <f>+'C BAREME 2024 2025 PERS SEULE  '!B74</f>
        <v>1775</v>
      </c>
      <c r="C66" s="18">
        <f t="shared" si="12"/>
        <v>0</v>
      </c>
      <c r="D66" s="18"/>
      <c r="E66" s="18">
        <v>143.33000000000001</v>
      </c>
      <c r="F66" s="115">
        <f>+'C BAREME 2024 2025 PERS SEULE  '!C74</f>
        <v>0.33333333333333331</v>
      </c>
      <c r="G66" s="20"/>
      <c r="H66" s="20">
        <f t="shared" si="13"/>
        <v>0</v>
      </c>
    </row>
    <row r="67" spans="1:8" s="1" customFormat="1" ht="33" customHeight="1" x14ac:dyDescent="0.3">
      <c r="A67" s="19">
        <f t="shared" si="11"/>
        <v>1775</v>
      </c>
      <c r="B67" s="18">
        <f>+'C BAREME 2024 2025 PERS SEULE  '!B75</f>
        <v>2133.33</v>
      </c>
      <c r="C67" s="18">
        <f t="shared" si="12"/>
        <v>0</v>
      </c>
      <c r="D67" s="18"/>
      <c r="E67" s="18">
        <v>143.33000000000001</v>
      </c>
      <c r="F67" s="115">
        <f>+'C BAREME 2024 2025 PERS SEULE  '!C75</f>
        <v>0.66666666666666663</v>
      </c>
      <c r="G67" s="20"/>
      <c r="H67" s="20">
        <f t="shared" si="13"/>
        <v>0</v>
      </c>
    </row>
    <row r="68" spans="1:8" s="1" customFormat="1" ht="15.6" x14ac:dyDescent="0.3">
      <c r="A68" s="10" t="s">
        <v>234</v>
      </c>
      <c r="B68" s="10"/>
      <c r="C68" s="10"/>
      <c r="D68" s="10"/>
      <c r="E68" s="3"/>
      <c r="F68" s="116"/>
      <c r="G68" s="3"/>
      <c r="H68" s="3"/>
    </row>
    <row r="70" spans="1:8" hidden="1" x14ac:dyDescent="0.3"/>
    <row r="71" spans="1:8" s="1" customFormat="1" ht="30" customHeight="1" x14ac:dyDescent="0.3">
      <c r="B71" s="6"/>
      <c r="C71" s="138" t="s">
        <v>232</v>
      </c>
      <c r="D71" s="138"/>
      <c r="E71" s="138"/>
      <c r="F71" s="138"/>
      <c r="G71" s="138"/>
      <c r="H71" s="138"/>
    </row>
    <row r="72" spans="1:8" s="1" customFormat="1" ht="60.75" customHeight="1" x14ac:dyDescent="0.3">
      <c r="A72" s="139" t="s">
        <v>61</v>
      </c>
      <c r="B72" s="139"/>
      <c r="C72" s="140" t="s">
        <v>77</v>
      </c>
      <c r="D72" s="141"/>
      <c r="E72" s="7" t="s">
        <v>13</v>
      </c>
      <c r="F72" s="17" t="s">
        <v>2</v>
      </c>
      <c r="G72" s="17" t="s">
        <v>47</v>
      </c>
      <c r="H72" s="17" t="s">
        <v>78</v>
      </c>
    </row>
    <row r="73" spans="1:8" s="1" customFormat="1" ht="33" customHeight="1" x14ac:dyDescent="0.3">
      <c r="A73" s="7">
        <f t="shared" ref="A73:B73" si="14">A62</f>
        <v>0</v>
      </c>
      <c r="B73" s="18">
        <f t="shared" si="14"/>
        <v>370</v>
      </c>
      <c r="C73" s="18"/>
      <c r="D73" s="18"/>
      <c r="E73" s="18">
        <f>140.83*2</f>
        <v>281.66000000000003</v>
      </c>
      <c r="F73" s="115">
        <v>0.05</v>
      </c>
      <c r="G73" s="20"/>
      <c r="H73" s="20"/>
    </row>
    <row r="74" spans="1:8" s="1" customFormat="1" ht="33" customHeight="1" x14ac:dyDescent="0.3">
      <c r="A74" s="7">
        <f t="shared" ref="A74:B74" si="15">A63</f>
        <v>370</v>
      </c>
      <c r="B74" s="18">
        <f t="shared" si="15"/>
        <v>721.67</v>
      </c>
      <c r="C74" s="18"/>
      <c r="D74" s="18"/>
      <c r="E74" s="18">
        <f t="shared" ref="E74:E78" si="16">140.83*2</f>
        <v>281.66000000000003</v>
      </c>
      <c r="F74" s="115">
        <f t="shared" ref="F74:F78" si="17">F63</f>
        <v>0.1</v>
      </c>
      <c r="G74" s="20"/>
      <c r="H74" s="20"/>
    </row>
    <row r="75" spans="1:8" s="1" customFormat="1" ht="33" customHeight="1" x14ac:dyDescent="0.3">
      <c r="A75" s="7">
        <f t="shared" ref="A75:B75" si="18">A64</f>
        <v>721.67</v>
      </c>
      <c r="B75" s="18">
        <f t="shared" si="18"/>
        <v>1074.17</v>
      </c>
      <c r="C75" s="18"/>
      <c r="D75" s="18"/>
      <c r="E75" s="18">
        <f t="shared" si="16"/>
        <v>281.66000000000003</v>
      </c>
      <c r="F75" s="115">
        <f t="shared" si="17"/>
        <v>0.2</v>
      </c>
      <c r="G75" s="20"/>
      <c r="H75" s="20"/>
    </row>
    <row r="76" spans="1:8" s="1" customFormat="1" ht="33" customHeight="1" x14ac:dyDescent="0.3">
      <c r="A76" s="7">
        <f t="shared" ref="A76:B76" si="19">A65</f>
        <v>1074.17</v>
      </c>
      <c r="B76" s="18">
        <f t="shared" si="19"/>
        <v>1424.17</v>
      </c>
      <c r="C76" s="18"/>
      <c r="D76" s="18"/>
      <c r="E76" s="18">
        <f t="shared" si="16"/>
        <v>281.66000000000003</v>
      </c>
      <c r="F76" s="115">
        <f t="shared" si="17"/>
        <v>0.25</v>
      </c>
      <c r="G76" s="20"/>
      <c r="H76" s="20"/>
    </row>
    <row r="77" spans="1:8" s="1" customFormat="1" ht="33" customHeight="1" x14ac:dyDescent="0.3">
      <c r="A77" s="7">
        <f t="shared" ref="A77:B77" si="20">A66</f>
        <v>1424.17</v>
      </c>
      <c r="B77" s="18">
        <f t="shared" si="20"/>
        <v>1775</v>
      </c>
      <c r="C77" s="18"/>
      <c r="D77" s="18"/>
      <c r="E77" s="18">
        <f t="shared" si="16"/>
        <v>281.66000000000003</v>
      </c>
      <c r="F77" s="115">
        <f t="shared" si="17"/>
        <v>0.33333333333333331</v>
      </c>
      <c r="G77" s="20"/>
      <c r="H77" s="20"/>
    </row>
    <row r="78" spans="1:8" s="1" customFormat="1" ht="33" customHeight="1" x14ac:dyDescent="0.3">
      <c r="A78" s="7">
        <f t="shared" ref="A78:B78" si="21">A67</f>
        <v>1775</v>
      </c>
      <c r="B78" s="18">
        <f t="shared" si="21"/>
        <v>2133.33</v>
      </c>
      <c r="C78" s="18"/>
      <c r="D78" s="18"/>
      <c r="E78" s="18">
        <f t="shared" si="16"/>
        <v>281.66000000000003</v>
      </c>
      <c r="F78" s="115">
        <f t="shared" si="17"/>
        <v>0.66666666666666663</v>
      </c>
      <c r="G78" s="20"/>
      <c r="H78" s="20"/>
    </row>
    <row r="79" spans="1:8" s="1" customFormat="1" ht="15.6" x14ac:dyDescent="0.3">
      <c r="A79" s="10" t="s">
        <v>234</v>
      </c>
      <c r="B79" s="10"/>
      <c r="C79" s="10"/>
      <c r="D79" s="10"/>
      <c r="E79" s="3"/>
      <c r="F79" s="3"/>
      <c r="G79" s="3"/>
      <c r="H79" s="3"/>
    </row>
    <row r="82" spans="1:8" s="1" customFormat="1" ht="30" customHeight="1" x14ac:dyDescent="0.3">
      <c r="B82" s="6"/>
      <c r="C82" s="138" t="s">
        <v>82</v>
      </c>
      <c r="D82" s="138"/>
      <c r="E82" s="138"/>
      <c r="F82" s="138"/>
      <c r="G82" s="138"/>
      <c r="H82" s="138"/>
    </row>
    <row r="83" spans="1:8" s="1" customFormat="1" ht="60.75" customHeight="1" x14ac:dyDescent="0.3">
      <c r="A83" s="139" t="s">
        <v>61</v>
      </c>
      <c r="B83" s="139"/>
      <c r="C83" s="140" t="s">
        <v>83</v>
      </c>
      <c r="D83" s="141"/>
      <c r="E83" s="7" t="s">
        <v>13</v>
      </c>
      <c r="F83" s="17" t="s">
        <v>2</v>
      </c>
      <c r="G83" s="17" t="s">
        <v>47</v>
      </c>
      <c r="H83" s="17" t="s">
        <v>78</v>
      </c>
    </row>
    <row r="84" spans="1:8" s="1" customFormat="1" ht="33" customHeight="1" x14ac:dyDescent="0.3">
      <c r="A84" s="7">
        <f>A73</f>
        <v>0</v>
      </c>
      <c r="B84" s="18">
        <f>B73</f>
        <v>370</v>
      </c>
      <c r="C84" s="18">
        <f>A84</f>
        <v>0</v>
      </c>
      <c r="D84" s="18"/>
      <c r="E84" s="18"/>
      <c r="F84" s="115">
        <v>0.05</v>
      </c>
      <c r="G84" s="20"/>
      <c r="H84" s="20"/>
    </row>
    <row r="85" spans="1:8" s="1" customFormat="1" ht="33" customHeight="1" x14ac:dyDescent="0.3">
      <c r="A85" s="7">
        <f t="shared" ref="A85:B85" si="22">A74</f>
        <v>370</v>
      </c>
      <c r="B85" s="18">
        <f t="shared" si="22"/>
        <v>721.67</v>
      </c>
      <c r="C85" s="18">
        <f>D84</f>
        <v>0</v>
      </c>
      <c r="D85" s="18"/>
      <c r="E85" s="18"/>
      <c r="F85" s="115">
        <v>0.1</v>
      </c>
      <c r="G85" s="20"/>
      <c r="H85" s="20"/>
    </row>
    <row r="86" spans="1:8" s="1" customFormat="1" ht="33" customHeight="1" x14ac:dyDescent="0.3">
      <c r="A86" s="7">
        <f t="shared" ref="A86:B86" si="23">A75</f>
        <v>721.67</v>
      </c>
      <c r="B86" s="18">
        <f t="shared" si="23"/>
        <v>1074.17</v>
      </c>
      <c r="C86" s="18">
        <f t="shared" ref="C86:C89" si="24">D85</f>
        <v>0</v>
      </c>
      <c r="D86" s="18"/>
      <c r="E86" s="18"/>
      <c r="F86" s="115">
        <v>0.2</v>
      </c>
      <c r="G86" s="20"/>
      <c r="H86" s="20"/>
    </row>
    <row r="87" spans="1:8" s="1" customFormat="1" ht="33" customHeight="1" x14ac:dyDescent="0.3">
      <c r="A87" s="7">
        <f t="shared" ref="A87:B87" si="25">A76</f>
        <v>1074.17</v>
      </c>
      <c r="B87" s="18">
        <f t="shared" si="25"/>
        <v>1424.17</v>
      </c>
      <c r="C87" s="18">
        <f t="shared" si="24"/>
        <v>0</v>
      </c>
      <c r="D87" s="18"/>
      <c r="E87" s="18"/>
      <c r="F87" s="115">
        <v>0.25</v>
      </c>
      <c r="G87" s="20"/>
      <c r="H87" s="20"/>
    </row>
    <row r="88" spans="1:8" s="1" customFormat="1" ht="33" customHeight="1" x14ac:dyDescent="0.3">
      <c r="A88" s="7">
        <f t="shared" ref="A88:B88" si="26">A77</f>
        <v>1424.17</v>
      </c>
      <c r="B88" s="18">
        <f t="shared" si="26"/>
        <v>1775</v>
      </c>
      <c r="C88" s="18">
        <f t="shared" si="24"/>
        <v>0</v>
      </c>
      <c r="D88" s="18"/>
      <c r="E88" s="18"/>
      <c r="F88" s="115">
        <v>0.33333333333333331</v>
      </c>
      <c r="G88" s="20"/>
      <c r="H88" s="20"/>
    </row>
    <row r="89" spans="1:8" s="1" customFormat="1" ht="33" customHeight="1" x14ac:dyDescent="0.3">
      <c r="A89" s="7">
        <f t="shared" ref="A89:B89" si="27">A78</f>
        <v>1775</v>
      </c>
      <c r="B89" s="18">
        <f t="shared" si="27"/>
        <v>2133.33</v>
      </c>
      <c r="C89" s="18">
        <f t="shared" si="24"/>
        <v>0</v>
      </c>
      <c r="D89" s="18"/>
      <c r="E89" s="18"/>
      <c r="F89" s="115">
        <v>0.66666666666666663</v>
      </c>
      <c r="G89" s="20"/>
      <c r="H89" s="20"/>
    </row>
    <row r="90" spans="1:8" s="1" customFormat="1" ht="15.6" x14ac:dyDescent="0.3">
      <c r="A90" s="10" t="s">
        <v>234</v>
      </c>
      <c r="B90" s="10"/>
      <c r="C90" s="10"/>
      <c r="D90" s="10"/>
      <c r="E90" s="3"/>
      <c r="F90" s="3"/>
      <c r="G90" s="3"/>
      <c r="H90" s="3"/>
    </row>
  </sheetData>
  <mergeCells count="21">
    <mergeCell ref="A72:B72"/>
    <mergeCell ref="C72:D72"/>
    <mergeCell ref="C82:H82"/>
    <mergeCell ref="A83:B83"/>
    <mergeCell ref="C83:D83"/>
    <mergeCell ref="B58:H58"/>
    <mergeCell ref="C60:H60"/>
    <mergeCell ref="A61:B61"/>
    <mergeCell ref="C61:D61"/>
    <mergeCell ref="C71:H71"/>
    <mergeCell ref="C26:H26"/>
    <mergeCell ref="A27:B27"/>
    <mergeCell ref="C27:D27"/>
    <mergeCell ref="B2:H2"/>
    <mergeCell ref="C4:H4"/>
    <mergeCell ref="A5:B5"/>
    <mergeCell ref="C5:D5"/>
    <mergeCell ref="C15:H15"/>
    <mergeCell ref="A16:B16"/>
    <mergeCell ref="C16:D16"/>
    <mergeCell ref="A12:H1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0290-DD60-4F9B-8509-1D72377D210E}">
  <dimension ref="A2:J74"/>
  <sheetViews>
    <sheetView topLeftCell="A58" zoomScale="110" zoomScaleNormal="110" workbookViewId="0">
      <selection activeCell="A25" sqref="A25:XFD25"/>
    </sheetView>
  </sheetViews>
  <sheetFormatPr baseColWidth="10" defaultRowHeight="14.4" x14ac:dyDescent="0.3"/>
  <cols>
    <col min="1" max="6" width="13.33203125" customWidth="1"/>
    <col min="7" max="7" width="19.109375" customWidth="1"/>
    <col min="8" max="8" width="20.88671875" customWidth="1"/>
  </cols>
  <sheetData>
    <row r="2" spans="1:8" s="1" customFormat="1" ht="25.2" customHeight="1" x14ac:dyDescent="0.3">
      <c r="B2" s="142" t="s">
        <v>220</v>
      </c>
      <c r="C2" s="142"/>
      <c r="D2" s="142"/>
      <c r="E2" s="142"/>
      <c r="F2" s="142"/>
      <c r="G2" s="142"/>
      <c r="H2" s="142"/>
    </row>
    <row r="3" spans="1:8" s="1" customFormat="1" ht="22.2" customHeight="1" x14ac:dyDescent="0.3">
      <c r="B3" s="109"/>
      <c r="C3" s="109"/>
      <c r="D3" s="109"/>
      <c r="E3" s="109"/>
      <c r="F3" s="109"/>
      <c r="G3" s="109"/>
      <c r="H3" s="109"/>
    </row>
    <row r="4" spans="1:8" s="1" customFormat="1" ht="30" customHeight="1" x14ac:dyDescent="0.3">
      <c r="B4" s="6"/>
      <c r="C4" s="138" t="s">
        <v>80</v>
      </c>
      <c r="D4" s="138"/>
      <c r="E4" s="138"/>
      <c r="F4" s="138"/>
      <c r="G4" s="138"/>
      <c r="H4" s="138"/>
    </row>
    <row r="5" spans="1:8" s="1" customFormat="1" ht="60.75" customHeight="1" x14ac:dyDescent="0.3">
      <c r="A5" s="139" t="s">
        <v>61</v>
      </c>
      <c r="B5" s="139"/>
      <c r="C5" s="140" t="s">
        <v>79</v>
      </c>
      <c r="D5" s="141"/>
      <c r="E5" s="7" t="s">
        <v>13</v>
      </c>
      <c r="F5" s="17" t="s">
        <v>2</v>
      </c>
      <c r="G5" s="17" t="s">
        <v>47</v>
      </c>
      <c r="H5" s="17" t="s">
        <v>78</v>
      </c>
    </row>
    <row r="6" spans="1:8" s="1" customFormat="1" ht="33" customHeight="1" x14ac:dyDescent="0.3">
      <c r="A6" s="7">
        <v>0</v>
      </c>
      <c r="B6" s="18">
        <f>'BAREME 2024 TABLEAU  '!B3</f>
        <v>364.17</v>
      </c>
      <c r="C6" s="18"/>
      <c r="D6" s="18">
        <f>B6+E6</f>
        <v>505</v>
      </c>
      <c r="E6" s="18">
        <v>140.83000000000001</v>
      </c>
      <c r="F6" s="115">
        <f>'BAREME 2024 TABLEAU  '!F3</f>
        <v>0.05</v>
      </c>
      <c r="G6" s="20">
        <f>ROUND((D6-C6)*F6,2)</f>
        <v>25.25</v>
      </c>
      <c r="H6" s="20">
        <f>G6</f>
        <v>25.25</v>
      </c>
    </row>
    <row r="7" spans="1:8" s="1" customFormat="1" ht="33" customHeight="1" x14ac:dyDescent="0.3">
      <c r="A7" s="19">
        <f>B6</f>
        <v>364.17</v>
      </c>
      <c r="B7" s="18">
        <f>'BAREME 2024 TABLEAU  '!B4</f>
        <v>710</v>
      </c>
      <c r="C7" s="18">
        <f>D6</f>
        <v>505</v>
      </c>
      <c r="D7" s="18">
        <f t="shared" ref="D7:D11" si="0">B7+E7</f>
        <v>850.83</v>
      </c>
      <c r="E7" s="18">
        <v>140.83000000000001</v>
      </c>
      <c r="F7" s="115">
        <f>'BAREME 2024 TABLEAU  '!F4</f>
        <v>0.1</v>
      </c>
      <c r="G7" s="20">
        <f t="shared" ref="G7:G11" si="1">ROUND((D7-C7)*F7,2)</f>
        <v>34.58</v>
      </c>
      <c r="H7" s="20">
        <f>H6+G7</f>
        <v>59.83</v>
      </c>
    </row>
    <row r="8" spans="1:8" s="1" customFormat="1" ht="33" customHeight="1" x14ac:dyDescent="0.3">
      <c r="A8" s="19">
        <f t="shared" ref="A8:A11" si="2">B7</f>
        <v>710</v>
      </c>
      <c r="B8" s="18">
        <f>'BAREME 2024 TABLEAU  '!B5</f>
        <v>1057.5</v>
      </c>
      <c r="C8" s="18">
        <f t="shared" ref="C8:C11" si="3">D7</f>
        <v>850.83</v>
      </c>
      <c r="D8" s="18">
        <f t="shared" si="0"/>
        <v>1198.33</v>
      </c>
      <c r="E8" s="18">
        <v>140.83000000000001</v>
      </c>
      <c r="F8" s="115">
        <f>'BAREME 2024 TABLEAU  '!F5</f>
        <v>0.2</v>
      </c>
      <c r="G8" s="20">
        <f t="shared" si="1"/>
        <v>69.5</v>
      </c>
      <c r="H8" s="20">
        <f t="shared" ref="H8:H11" si="4">H7+G8</f>
        <v>129.32999999999998</v>
      </c>
    </row>
    <row r="9" spans="1:8" s="1" customFormat="1" ht="33" customHeight="1" x14ac:dyDescent="0.3">
      <c r="A9" s="19">
        <f t="shared" si="2"/>
        <v>1057.5</v>
      </c>
      <c r="B9" s="18">
        <f>'BAREME 2024 TABLEAU  '!B6</f>
        <v>1401.67</v>
      </c>
      <c r="C9" s="18">
        <f t="shared" si="3"/>
        <v>1198.33</v>
      </c>
      <c r="D9" s="18">
        <f t="shared" si="0"/>
        <v>1542.5</v>
      </c>
      <c r="E9" s="18">
        <v>140.83000000000001</v>
      </c>
      <c r="F9" s="115">
        <f>'BAREME 2024 TABLEAU  '!F6</f>
        <v>0.25</v>
      </c>
      <c r="G9" s="20">
        <f t="shared" si="1"/>
        <v>86.04</v>
      </c>
      <c r="H9" s="20">
        <f t="shared" si="4"/>
        <v>215.37</v>
      </c>
    </row>
    <row r="10" spans="1:8" s="1" customFormat="1" ht="33" customHeight="1" x14ac:dyDescent="0.3">
      <c r="A10" s="19">
        <f t="shared" si="2"/>
        <v>1401.67</v>
      </c>
      <c r="B10" s="18">
        <f>'BAREME 2024 TABLEAU  '!B7</f>
        <v>1747.5</v>
      </c>
      <c r="C10" s="18">
        <f t="shared" si="3"/>
        <v>1542.5</v>
      </c>
      <c r="D10" s="18">
        <f t="shared" si="0"/>
        <v>1888.33</v>
      </c>
      <c r="E10" s="18">
        <v>140.83000000000001</v>
      </c>
      <c r="F10" s="115">
        <f>'BAREME 2024 TABLEAU  '!F7</f>
        <v>0.33333333333333331</v>
      </c>
      <c r="G10" s="20">
        <f t="shared" si="1"/>
        <v>115.28</v>
      </c>
      <c r="H10" s="20">
        <f t="shared" si="4"/>
        <v>330.65</v>
      </c>
    </row>
    <row r="11" spans="1:8" s="1" customFormat="1" ht="33" customHeight="1" x14ac:dyDescent="0.3">
      <c r="A11" s="19">
        <f t="shared" si="2"/>
        <v>1747.5</v>
      </c>
      <c r="B11" s="18">
        <f>'BAREME 2024 TABLEAU  '!B8</f>
        <v>2100</v>
      </c>
      <c r="C11" s="18">
        <f t="shared" si="3"/>
        <v>1888.33</v>
      </c>
      <c r="D11" s="18">
        <f t="shared" si="0"/>
        <v>2240.83</v>
      </c>
      <c r="E11" s="18">
        <v>140.83000000000001</v>
      </c>
      <c r="F11" s="115">
        <f>'BAREME 2024 TABLEAU  '!F8</f>
        <v>0.66666666666666663</v>
      </c>
      <c r="G11" s="20">
        <f t="shared" si="1"/>
        <v>235</v>
      </c>
      <c r="H11" s="20">
        <f t="shared" si="4"/>
        <v>565.65</v>
      </c>
    </row>
    <row r="12" spans="1:8" s="1" customFormat="1" ht="15.6" x14ac:dyDescent="0.3">
      <c r="A12" s="143" t="str">
        <f>'C BAREME 2024 2025 PERS SEULE  '!B12</f>
        <v>A ces plafonds annuels s'ajoutent 1 690 € par personne à charge du débiteur (enfants par exemple), soit 140,83  euros par mois.</v>
      </c>
      <c r="B12" s="144"/>
      <c r="C12" s="144"/>
      <c r="D12" s="144"/>
      <c r="E12" s="144"/>
      <c r="F12" s="144"/>
      <c r="G12" s="144"/>
      <c r="H12" s="145"/>
    </row>
    <row r="14" spans="1:8" hidden="1" x14ac:dyDescent="0.3"/>
    <row r="15" spans="1:8" s="1" customFormat="1" ht="30" customHeight="1" x14ac:dyDescent="0.3">
      <c r="B15" s="6"/>
      <c r="C15" s="138" t="s">
        <v>62</v>
      </c>
      <c r="D15" s="138"/>
      <c r="E15" s="138"/>
      <c r="F15" s="138"/>
      <c r="G15" s="138"/>
      <c r="H15" s="138"/>
    </row>
    <row r="16" spans="1:8" s="1" customFormat="1" ht="60.75" customHeight="1" x14ac:dyDescent="0.3">
      <c r="A16" s="139" t="s">
        <v>61</v>
      </c>
      <c r="B16" s="139"/>
      <c r="C16" s="140" t="s">
        <v>77</v>
      </c>
      <c r="D16" s="141"/>
      <c r="E16" s="7" t="s">
        <v>13</v>
      </c>
      <c r="F16" s="17" t="s">
        <v>2</v>
      </c>
      <c r="G16" s="17" t="s">
        <v>47</v>
      </c>
      <c r="H16" s="17" t="s">
        <v>78</v>
      </c>
    </row>
    <row r="17" spans="1:8" s="1" customFormat="1" ht="33" customHeight="1" x14ac:dyDescent="0.3">
      <c r="A17" s="7">
        <f t="shared" ref="A17:B22" si="5">A6</f>
        <v>0</v>
      </c>
      <c r="B17" s="18">
        <f t="shared" si="5"/>
        <v>364.17</v>
      </c>
      <c r="C17" s="18"/>
      <c r="D17" s="18">
        <f>B17+E17</f>
        <v>645.83000000000004</v>
      </c>
      <c r="E17" s="18">
        <f>140.83*2</f>
        <v>281.66000000000003</v>
      </c>
      <c r="F17" s="18">
        <f>+F6</f>
        <v>0.05</v>
      </c>
      <c r="G17" s="20">
        <f>ROUND((D17-C17)*F17,2)</f>
        <v>32.29</v>
      </c>
      <c r="H17" s="20">
        <f>G17</f>
        <v>32.29</v>
      </c>
    </row>
    <row r="18" spans="1:8" s="1" customFormat="1" ht="33" customHeight="1" x14ac:dyDescent="0.3">
      <c r="A18" s="7">
        <f t="shared" si="5"/>
        <v>364.17</v>
      </c>
      <c r="B18" s="18">
        <f t="shared" si="5"/>
        <v>710</v>
      </c>
      <c r="C18" s="18">
        <f>D17</f>
        <v>645.83000000000004</v>
      </c>
      <c r="D18" s="18">
        <f t="shared" ref="D18:D22" si="6">B18+E18</f>
        <v>991.66000000000008</v>
      </c>
      <c r="E18" s="18">
        <f t="shared" ref="E18:E22" si="7">140.83*2</f>
        <v>281.66000000000003</v>
      </c>
      <c r="F18" s="18">
        <f t="shared" ref="F18:F22" si="8">+F7</f>
        <v>0.1</v>
      </c>
      <c r="G18" s="20">
        <f t="shared" ref="G18:G22" si="9">ROUND((D18-C18)*F18,2)</f>
        <v>34.58</v>
      </c>
      <c r="H18" s="20">
        <f>G18+H17</f>
        <v>66.87</v>
      </c>
    </row>
    <row r="19" spans="1:8" s="1" customFormat="1" ht="33" customHeight="1" x14ac:dyDescent="0.3">
      <c r="A19" s="7">
        <f t="shared" si="5"/>
        <v>710</v>
      </c>
      <c r="B19" s="18">
        <f t="shared" si="5"/>
        <v>1057.5</v>
      </c>
      <c r="C19" s="18">
        <f t="shared" ref="C19:C22" si="10">D18</f>
        <v>991.66000000000008</v>
      </c>
      <c r="D19" s="18">
        <f t="shared" si="6"/>
        <v>1339.16</v>
      </c>
      <c r="E19" s="18">
        <f t="shared" si="7"/>
        <v>281.66000000000003</v>
      </c>
      <c r="F19" s="18">
        <f t="shared" si="8"/>
        <v>0.2</v>
      </c>
      <c r="G19" s="20">
        <f t="shared" si="9"/>
        <v>69.5</v>
      </c>
      <c r="H19" s="20">
        <f t="shared" ref="H19:H22" si="11">G19+H18</f>
        <v>136.37</v>
      </c>
    </row>
    <row r="20" spans="1:8" s="1" customFormat="1" ht="33" customHeight="1" x14ac:dyDescent="0.3">
      <c r="A20" s="7">
        <f t="shared" si="5"/>
        <v>1057.5</v>
      </c>
      <c r="B20" s="18">
        <f t="shared" si="5"/>
        <v>1401.67</v>
      </c>
      <c r="C20" s="18">
        <f t="shared" si="10"/>
        <v>1339.16</v>
      </c>
      <c r="D20" s="18">
        <f t="shared" si="6"/>
        <v>1683.3300000000002</v>
      </c>
      <c r="E20" s="18">
        <f t="shared" si="7"/>
        <v>281.66000000000003</v>
      </c>
      <c r="F20" s="18">
        <f t="shared" si="8"/>
        <v>0.25</v>
      </c>
      <c r="G20" s="20">
        <f t="shared" si="9"/>
        <v>86.04</v>
      </c>
      <c r="H20" s="20">
        <f t="shared" si="11"/>
        <v>222.41000000000003</v>
      </c>
    </row>
    <row r="21" spans="1:8" s="1" customFormat="1" ht="33" customHeight="1" x14ac:dyDescent="0.3">
      <c r="A21" s="7">
        <f t="shared" si="5"/>
        <v>1401.67</v>
      </c>
      <c r="B21" s="18">
        <f t="shared" si="5"/>
        <v>1747.5</v>
      </c>
      <c r="C21" s="18">
        <f t="shared" si="10"/>
        <v>1683.3300000000002</v>
      </c>
      <c r="D21" s="18">
        <f t="shared" si="6"/>
        <v>2029.16</v>
      </c>
      <c r="E21" s="18">
        <f t="shared" si="7"/>
        <v>281.66000000000003</v>
      </c>
      <c r="F21" s="18">
        <f t="shared" si="8"/>
        <v>0.33333333333333331</v>
      </c>
      <c r="G21" s="20">
        <f t="shared" si="9"/>
        <v>115.28</v>
      </c>
      <c r="H21" s="20">
        <f t="shared" si="11"/>
        <v>337.69000000000005</v>
      </c>
    </row>
    <row r="22" spans="1:8" s="1" customFormat="1" ht="33" customHeight="1" x14ac:dyDescent="0.3">
      <c r="A22" s="7">
        <f t="shared" si="5"/>
        <v>1747.5</v>
      </c>
      <c r="B22" s="18">
        <f t="shared" si="5"/>
        <v>2100</v>
      </c>
      <c r="C22" s="18">
        <f t="shared" si="10"/>
        <v>2029.16</v>
      </c>
      <c r="D22" s="18">
        <f t="shared" si="6"/>
        <v>2381.66</v>
      </c>
      <c r="E22" s="18">
        <f t="shared" si="7"/>
        <v>281.66000000000003</v>
      </c>
      <c r="F22" s="18">
        <f t="shared" si="8"/>
        <v>0.66666666666666663</v>
      </c>
      <c r="G22" s="20">
        <f t="shared" si="9"/>
        <v>235</v>
      </c>
      <c r="H22" s="20">
        <f t="shared" si="11"/>
        <v>572.69000000000005</v>
      </c>
    </row>
    <row r="23" spans="1:8" s="1" customFormat="1" ht="15.6" x14ac:dyDescent="0.3">
      <c r="A23" s="10" t="s">
        <v>173</v>
      </c>
      <c r="B23" s="10"/>
      <c r="C23" s="10"/>
      <c r="D23" s="10"/>
      <c r="E23" s="3"/>
      <c r="F23" s="3"/>
      <c r="G23" s="3"/>
      <c r="H23" s="3"/>
    </row>
    <row r="27" spans="1:8" s="1" customFormat="1" ht="30" customHeight="1" x14ac:dyDescent="0.3">
      <c r="B27" s="6"/>
      <c r="C27" s="138" t="s">
        <v>82</v>
      </c>
      <c r="D27" s="138"/>
      <c r="E27" s="138"/>
      <c r="F27" s="138"/>
      <c r="G27" s="138"/>
      <c r="H27" s="138"/>
    </row>
    <row r="28" spans="1:8" s="1" customFormat="1" ht="60.75" customHeight="1" x14ac:dyDescent="0.3">
      <c r="A28" s="139" t="s">
        <v>61</v>
      </c>
      <c r="B28" s="139"/>
      <c r="C28" s="140" t="s">
        <v>83</v>
      </c>
      <c r="D28" s="141"/>
      <c r="E28" s="7" t="s">
        <v>13</v>
      </c>
      <c r="F28" s="17" t="s">
        <v>2</v>
      </c>
      <c r="G28" s="17" t="s">
        <v>47</v>
      </c>
      <c r="H28" s="17" t="s">
        <v>78</v>
      </c>
    </row>
    <row r="29" spans="1:8" s="1" customFormat="1" ht="33" customHeight="1" x14ac:dyDescent="0.3">
      <c r="A29" s="7">
        <f>A17</f>
        <v>0</v>
      </c>
      <c r="B29" s="18">
        <f>B17</f>
        <v>364.17</v>
      </c>
      <c r="C29" s="18">
        <f>A29</f>
        <v>0</v>
      </c>
      <c r="D29" s="18">
        <f>B29+E29</f>
        <v>927.49</v>
      </c>
      <c r="E29" s="18">
        <f>4*E6</f>
        <v>563.32000000000005</v>
      </c>
      <c r="F29" s="115">
        <v>0.05</v>
      </c>
      <c r="G29" s="20">
        <f>ROUND((D29-C29)*F29,2)</f>
        <v>46.37</v>
      </c>
      <c r="H29" s="20">
        <f>G29</f>
        <v>46.37</v>
      </c>
    </row>
    <row r="30" spans="1:8" s="1" customFormat="1" ht="33" customHeight="1" x14ac:dyDescent="0.3">
      <c r="A30" s="7">
        <f>A18</f>
        <v>364.17</v>
      </c>
      <c r="B30" s="18">
        <f>B18</f>
        <v>710</v>
      </c>
      <c r="C30" s="18">
        <f>D29</f>
        <v>927.49</v>
      </c>
      <c r="D30" s="18">
        <f>B30+E30</f>
        <v>1273.3200000000002</v>
      </c>
      <c r="E30" s="18">
        <f t="shared" ref="E30:E34" si="12">140.83*4</f>
        <v>563.32000000000005</v>
      </c>
      <c r="F30" s="115">
        <v>0.1</v>
      </c>
      <c r="G30" s="20">
        <f t="shared" ref="G30:G34" si="13">ROUND((D30-C30)*F30,2)</f>
        <v>34.58</v>
      </c>
      <c r="H30" s="20">
        <f>H29+G30</f>
        <v>80.949999999999989</v>
      </c>
    </row>
    <row r="31" spans="1:8" s="1" customFormat="1" ht="33" customHeight="1" x14ac:dyDescent="0.3">
      <c r="A31" s="7">
        <f>A19</f>
        <v>710</v>
      </c>
      <c r="B31" s="18">
        <f>B19</f>
        <v>1057.5</v>
      </c>
      <c r="C31" s="18">
        <f t="shared" ref="C31:C34" si="14">D30</f>
        <v>1273.3200000000002</v>
      </c>
      <c r="D31" s="18">
        <f t="shared" ref="D31:D34" si="15">B31+E31</f>
        <v>1620.8200000000002</v>
      </c>
      <c r="E31" s="18">
        <f t="shared" si="12"/>
        <v>563.32000000000005</v>
      </c>
      <c r="F31" s="115">
        <v>0.2</v>
      </c>
      <c r="G31" s="20">
        <f t="shared" si="13"/>
        <v>69.5</v>
      </c>
      <c r="H31" s="20">
        <f t="shared" ref="H31:H34" si="16">H30+G31</f>
        <v>150.44999999999999</v>
      </c>
    </row>
    <row r="32" spans="1:8" s="1" customFormat="1" ht="33" customHeight="1" x14ac:dyDescent="0.3">
      <c r="A32" s="7">
        <f>A20</f>
        <v>1057.5</v>
      </c>
      <c r="B32" s="18">
        <f>B20</f>
        <v>1401.67</v>
      </c>
      <c r="C32" s="18">
        <f t="shared" si="14"/>
        <v>1620.8200000000002</v>
      </c>
      <c r="D32" s="18">
        <f t="shared" si="15"/>
        <v>1964.9900000000002</v>
      </c>
      <c r="E32" s="18">
        <f t="shared" si="12"/>
        <v>563.32000000000005</v>
      </c>
      <c r="F32" s="115">
        <v>0.25</v>
      </c>
      <c r="G32" s="20">
        <f t="shared" si="13"/>
        <v>86.04</v>
      </c>
      <c r="H32" s="20">
        <f t="shared" si="16"/>
        <v>236.49</v>
      </c>
    </row>
    <row r="33" spans="1:10" s="1" customFormat="1" ht="33" customHeight="1" x14ac:dyDescent="0.3">
      <c r="A33" s="7">
        <f>A21</f>
        <v>1401.67</v>
      </c>
      <c r="B33" s="18">
        <f>B21</f>
        <v>1747.5</v>
      </c>
      <c r="C33" s="18">
        <f t="shared" si="14"/>
        <v>1964.9900000000002</v>
      </c>
      <c r="D33" s="18">
        <f t="shared" si="15"/>
        <v>2310.8200000000002</v>
      </c>
      <c r="E33" s="18">
        <f t="shared" si="12"/>
        <v>563.32000000000005</v>
      </c>
      <c r="F33" s="115">
        <v>0.33333333333333331</v>
      </c>
      <c r="G33" s="20">
        <f t="shared" si="13"/>
        <v>115.28</v>
      </c>
      <c r="H33" s="20">
        <f t="shared" si="16"/>
        <v>351.77</v>
      </c>
    </row>
    <row r="34" spans="1:10" s="1" customFormat="1" ht="33" customHeight="1" x14ac:dyDescent="0.3">
      <c r="A34" s="7">
        <f>A22</f>
        <v>1747.5</v>
      </c>
      <c r="B34" s="18">
        <f>B22</f>
        <v>2100</v>
      </c>
      <c r="C34" s="18">
        <f t="shared" si="14"/>
        <v>2310.8200000000002</v>
      </c>
      <c r="D34" s="18">
        <f t="shared" si="15"/>
        <v>2663.32</v>
      </c>
      <c r="E34" s="18">
        <f t="shared" si="12"/>
        <v>563.32000000000005</v>
      </c>
      <c r="F34" s="115">
        <v>0.66666666666666663</v>
      </c>
      <c r="G34" s="20">
        <f t="shared" si="13"/>
        <v>235</v>
      </c>
      <c r="H34" s="20">
        <f t="shared" si="16"/>
        <v>586.77</v>
      </c>
    </row>
    <row r="35" spans="1:10" s="1" customFormat="1" ht="15.6" x14ac:dyDescent="0.3">
      <c r="A35" s="10" t="s">
        <v>173</v>
      </c>
      <c r="B35" s="10"/>
      <c r="C35" s="10"/>
      <c r="D35" s="10"/>
      <c r="E35" s="3"/>
      <c r="F35" s="3"/>
      <c r="G35" s="3"/>
      <c r="H35" s="3"/>
    </row>
    <row r="38" spans="1:10" s="1" customFormat="1" ht="25.2" customHeight="1" x14ac:dyDescent="0.3">
      <c r="B38" s="142" t="s">
        <v>219</v>
      </c>
      <c r="C38" s="142"/>
      <c r="D38" s="142"/>
      <c r="E38" s="142"/>
      <c r="F38" s="142"/>
      <c r="G38" s="142"/>
      <c r="H38" s="142"/>
    </row>
    <row r="39" spans="1:10" s="1" customFormat="1" ht="22.2" customHeight="1" x14ac:dyDescent="0.3">
      <c r="B39" s="109"/>
      <c r="C39" s="109"/>
      <c r="D39" s="109"/>
      <c r="E39" s="109"/>
      <c r="F39" s="109"/>
      <c r="G39" s="109"/>
      <c r="H39" s="109"/>
    </row>
    <row r="40" spans="1:10" s="1" customFormat="1" ht="30" customHeight="1" x14ac:dyDescent="0.3">
      <c r="B40" s="6"/>
      <c r="C40" s="138" t="s">
        <v>231</v>
      </c>
      <c r="D40" s="138"/>
      <c r="E40" s="138"/>
      <c r="F40" s="138"/>
      <c r="G40" s="138"/>
      <c r="H40" s="138"/>
    </row>
    <row r="41" spans="1:10" s="1" customFormat="1" ht="60.75" customHeight="1" x14ac:dyDescent="0.3">
      <c r="A41" s="139" t="s">
        <v>61</v>
      </c>
      <c r="B41" s="139"/>
      <c r="C41" s="140" t="s">
        <v>79</v>
      </c>
      <c r="D41" s="141"/>
      <c r="E41" s="7" t="s">
        <v>13</v>
      </c>
      <c r="F41" s="17" t="s">
        <v>2</v>
      </c>
      <c r="G41" s="17" t="s">
        <v>47</v>
      </c>
      <c r="H41" s="17" t="s">
        <v>78</v>
      </c>
    </row>
    <row r="42" spans="1:10" s="1" customFormat="1" ht="33" customHeight="1" x14ac:dyDescent="0.3">
      <c r="A42" s="7">
        <v>0</v>
      </c>
      <c r="B42" s="18">
        <f>+'C BAREME 2024 2025 PERS SEULE  '!B70</f>
        <v>370</v>
      </c>
      <c r="C42" s="18"/>
      <c r="D42" s="18">
        <f>+B42+E42</f>
        <v>513.33000000000004</v>
      </c>
      <c r="E42" s="18">
        <v>143.33000000000001</v>
      </c>
      <c r="F42" s="115">
        <f>+'C BAREME 2024 2025 PERS SEULE  '!C70</f>
        <v>0.05</v>
      </c>
      <c r="G42" s="20">
        <f>ROUND((D42-C42)*F42,2)</f>
        <v>25.67</v>
      </c>
      <c r="H42" s="20">
        <f>+G42</f>
        <v>25.67</v>
      </c>
      <c r="J42" s="1">
        <f>143.33*12</f>
        <v>1719.96</v>
      </c>
    </row>
    <row r="43" spans="1:10" s="1" customFormat="1" ht="33" customHeight="1" x14ac:dyDescent="0.3">
      <c r="A43" s="19">
        <f>B42</f>
        <v>370</v>
      </c>
      <c r="B43" s="18">
        <f>+'C BAREME 2024 2025 PERS SEULE  '!B71</f>
        <v>721.67</v>
      </c>
      <c r="C43" s="18">
        <f>+D42</f>
        <v>513.33000000000004</v>
      </c>
      <c r="D43" s="18">
        <f t="shared" ref="D43:D47" si="17">+B43+E43</f>
        <v>865</v>
      </c>
      <c r="E43" s="18">
        <v>143.33000000000001</v>
      </c>
      <c r="F43" s="115">
        <f>+'C BAREME 2024 2025 PERS SEULE  '!C71</f>
        <v>0.1</v>
      </c>
      <c r="G43" s="20">
        <f t="shared" ref="G43:G47" si="18">ROUND((D43-C43)*F43,2)</f>
        <v>35.17</v>
      </c>
      <c r="H43" s="20">
        <f>H42+G43</f>
        <v>60.84</v>
      </c>
    </row>
    <row r="44" spans="1:10" s="1" customFormat="1" ht="33" customHeight="1" x14ac:dyDescent="0.3">
      <c r="A44" s="19">
        <f t="shared" ref="A44:A47" si="19">B43</f>
        <v>721.67</v>
      </c>
      <c r="B44" s="18">
        <f>+'C BAREME 2024 2025 PERS SEULE  '!B72</f>
        <v>1074.17</v>
      </c>
      <c r="C44" s="18">
        <f t="shared" ref="C44:C47" si="20">+D43</f>
        <v>865</v>
      </c>
      <c r="D44" s="18">
        <f t="shared" si="17"/>
        <v>1217.5</v>
      </c>
      <c r="E44" s="18">
        <v>143.33000000000001</v>
      </c>
      <c r="F44" s="115">
        <f>+'C BAREME 2024 2025 PERS SEULE  '!C72</f>
        <v>0.2</v>
      </c>
      <c r="G44" s="20">
        <f t="shared" si="18"/>
        <v>70.5</v>
      </c>
      <c r="H44" s="20">
        <f t="shared" ref="H44:H47" si="21">H43+G44</f>
        <v>131.34</v>
      </c>
    </row>
    <row r="45" spans="1:10" s="1" customFormat="1" ht="33" customHeight="1" x14ac:dyDescent="0.3">
      <c r="A45" s="19">
        <f t="shared" si="19"/>
        <v>1074.17</v>
      </c>
      <c r="B45" s="18">
        <f>+'C BAREME 2024 2025 PERS SEULE  '!B73</f>
        <v>1424.17</v>
      </c>
      <c r="C45" s="18">
        <f t="shared" si="20"/>
        <v>1217.5</v>
      </c>
      <c r="D45" s="18">
        <f t="shared" si="17"/>
        <v>1567.5</v>
      </c>
      <c r="E45" s="18">
        <v>143.33000000000001</v>
      </c>
      <c r="F45" s="115">
        <f>+'C BAREME 2024 2025 PERS SEULE  '!C73</f>
        <v>0.25</v>
      </c>
      <c r="G45" s="20">
        <f t="shared" si="18"/>
        <v>87.5</v>
      </c>
      <c r="H45" s="20">
        <f t="shared" si="21"/>
        <v>218.84</v>
      </c>
    </row>
    <row r="46" spans="1:10" s="1" customFormat="1" ht="33" customHeight="1" x14ac:dyDescent="0.3">
      <c r="A46" s="19">
        <f t="shared" si="19"/>
        <v>1424.17</v>
      </c>
      <c r="B46" s="18">
        <f>+'C BAREME 2024 2025 PERS SEULE  '!B74</f>
        <v>1775</v>
      </c>
      <c r="C46" s="18">
        <f t="shared" si="20"/>
        <v>1567.5</v>
      </c>
      <c r="D46" s="18">
        <f t="shared" si="17"/>
        <v>1918.33</v>
      </c>
      <c r="E46" s="18">
        <v>143.33000000000001</v>
      </c>
      <c r="F46" s="115">
        <f>+'C BAREME 2024 2025 PERS SEULE  '!C74</f>
        <v>0.33333333333333331</v>
      </c>
      <c r="G46" s="20">
        <f t="shared" si="18"/>
        <v>116.94</v>
      </c>
      <c r="H46" s="20">
        <f t="shared" si="21"/>
        <v>335.78</v>
      </c>
    </row>
    <row r="47" spans="1:10" s="1" customFormat="1" ht="33" customHeight="1" x14ac:dyDescent="0.3">
      <c r="A47" s="19">
        <f t="shared" si="19"/>
        <v>1775</v>
      </c>
      <c r="B47" s="18">
        <f>+'C BAREME 2024 2025 PERS SEULE  '!B75</f>
        <v>2133.33</v>
      </c>
      <c r="C47" s="18">
        <f t="shared" si="20"/>
        <v>1918.33</v>
      </c>
      <c r="D47" s="18">
        <f t="shared" si="17"/>
        <v>2276.66</v>
      </c>
      <c r="E47" s="18">
        <v>143.33000000000001</v>
      </c>
      <c r="F47" s="115">
        <f>+'C BAREME 2024 2025 PERS SEULE  '!C75</f>
        <v>0.66666666666666663</v>
      </c>
      <c r="G47" s="20">
        <f t="shared" si="18"/>
        <v>238.89</v>
      </c>
      <c r="H47" s="20">
        <f t="shared" si="21"/>
        <v>574.66999999999996</v>
      </c>
    </row>
    <row r="48" spans="1:10" s="1" customFormat="1" ht="15.6" x14ac:dyDescent="0.3">
      <c r="A48" s="10" t="s">
        <v>234</v>
      </c>
      <c r="B48" s="10"/>
      <c r="C48" s="10"/>
      <c r="D48" s="10"/>
      <c r="E48" s="3"/>
      <c r="F48" s="116"/>
      <c r="G48" s="3"/>
      <c r="H48" s="3"/>
    </row>
    <row r="49" spans="1:8" s="1" customFormat="1" ht="15.6" x14ac:dyDescent="0.3">
      <c r="A49"/>
      <c r="B49"/>
      <c r="C49"/>
      <c r="D49"/>
      <c r="F49" s="117"/>
    </row>
    <row r="50" spans="1:8" s="1" customFormat="1" ht="15.6" x14ac:dyDescent="0.3">
      <c r="A50"/>
      <c r="B50"/>
      <c r="C50"/>
      <c r="D50"/>
      <c r="F50" s="117"/>
    </row>
    <row r="51" spans="1:8" s="1" customFormat="1" ht="15.6" x14ac:dyDescent="0.3">
      <c r="A51"/>
      <c r="B51"/>
      <c r="C51"/>
      <c r="D51"/>
      <c r="F51" s="117"/>
    </row>
    <row r="52" spans="1:8" s="1" customFormat="1" ht="15.6" x14ac:dyDescent="0.3">
      <c r="A52"/>
      <c r="B52"/>
      <c r="C52"/>
      <c r="D52"/>
      <c r="F52" s="117"/>
    </row>
    <row r="54" spans="1:8" hidden="1" x14ac:dyDescent="0.3"/>
    <row r="55" spans="1:8" s="1" customFormat="1" ht="30" customHeight="1" x14ac:dyDescent="0.3">
      <c r="B55" s="6"/>
      <c r="C55" s="138" t="s">
        <v>232</v>
      </c>
      <c r="D55" s="138"/>
      <c r="E55" s="138"/>
      <c r="F55" s="138"/>
      <c r="G55" s="138"/>
      <c r="H55" s="138"/>
    </row>
    <row r="56" spans="1:8" s="1" customFormat="1" ht="60.75" customHeight="1" x14ac:dyDescent="0.3">
      <c r="A56" s="139" t="s">
        <v>61</v>
      </c>
      <c r="B56" s="139"/>
      <c r="C56" s="140" t="s">
        <v>77</v>
      </c>
      <c r="D56" s="141"/>
      <c r="E56" s="7" t="s">
        <v>13</v>
      </c>
      <c r="F56" s="17" t="s">
        <v>2</v>
      </c>
      <c r="G56" s="17" t="s">
        <v>47</v>
      </c>
      <c r="H56" s="17" t="s">
        <v>78</v>
      </c>
    </row>
    <row r="57" spans="1:8" s="1" customFormat="1" ht="33" customHeight="1" x14ac:dyDescent="0.3">
      <c r="A57" s="7">
        <f t="shared" ref="A57:B62" si="22">A42</f>
        <v>0</v>
      </c>
      <c r="B57" s="18">
        <f t="shared" si="22"/>
        <v>370</v>
      </c>
      <c r="C57" s="18"/>
      <c r="D57" s="18">
        <f>B57+E57</f>
        <v>651.66000000000008</v>
      </c>
      <c r="E57" s="18">
        <f>140.83*2</f>
        <v>281.66000000000003</v>
      </c>
      <c r="F57" s="115">
        <v>0.05</v>
      </c>
      <c r="G57" s="20">
        <f>ROUND((D57-C57)*F57,2)</f>
        <v>32.58</v>
      </c>
      <c r="H57" s="20">
        <f>G57</f>
        <v>32.58</v>
      </c>
    </row>
    <row r="58" spans="1:8" s="1" customFormat="1" ht="33" customHeight="1" x14ac:dyDescent="0.3">
      <c r="A58" s="7">
        <f t="shared" si="22"/>
        <v>370</v>
      </c>
      <c r="B58" s="18">
        <f t="shared" si="22"/>
        <v>721.67</v>
      </c>
      <c r="C58" s="18">
        <f>D57</f>
        <v>651.66000000000008</v>
      </c>
      <c r="D58" s="18">
        <f t="shared" ref="D58:D62" si="23">B58+E58</f>
        <v>1003.3299999999999</v>
      </c>
      <c r="E58" s="18">
        <f t="shared" ref="E58:E62" si="24">140.83*2</f>
        <v>281.66000000000003</v>
      </c>
      <c r="F58" s="115">
        <f>F43</f>
        <v>0.1</v>
      </c>
      <c r="G58" s="20">
        <f t="shared" ref="G58:G62" si="25">ROUND((D58-C58)*F58,2)</f>
        <v>35.17</v>
      </c>
      <c r="H58" s="20">
        <f>H57+G58</f>
        <v>67.75</v>
      </c>
    </row>
    <row r="59" spans="1:8" s="1" customFormat="1" ht="33" customHeight="1" x14ac:dyDescent="0.3">
      <c r="A59" s="7">
        <f t="shared" si="22"/>
        <v>721.67</v>
      </c>
      <c r="B59" s="18">
        <f t="shared" si="22"/>
        <v>1074.17</v>
      </c>
      <c r="C59" s="18">
        <f t="shared" ref="C59:C62" si="26">D58</f>
        <v>1003.3299999999999</v>
      </c>
      <c r="D59" s="18">
        <f t="shared" si="23"/>
        <v>1355.8300000000002</v>
      </c>
      <c r="E59" s="18">
        <f t="shared" si="24"/>
        <v>281.66000000000003</v>
      </c>
      <c r="F59" s="115">
        <f>F44</f>
        <v>0.2</v>
      </c>
      <c r="G59" s="20">
        <f t="shared" si="25"/>
        <v>70.5</v>
      </c>
      <c r="H59" s="20">
        <f t="shared" ref="H59:H62" si="27">H58+G59</f>
        <v>138.25</v>
      </c>
    </row>
    <row r="60" spans="1:8" s="1" customFormat="1" ht="33" customHeight="1" x14ac:dyDescent="0.3">
      <c r="A60" s="7">
        <f t="shared" si="22"/>
        <v>1074.17</v>
      </c>
      <c r="B60" s="18">
        <f t="shared" si="22"/>
        <v>1424.17</v>
      </c>
      <c r="C60" s="18">
        <f t="shared" si="26"/>
        <v>1355.8300000000002</v>
      </c>
      <c r="D60" s="18">
        <f t="shared" si="23"/>
        <v>1705.8300000000002</v>
      </c>
      <c r="E60" s="18">
        <f t="shared" si="24"/>
        <v>281.66000000000003</v>
      </c>
      <c r="F60" s="115">
        <f>F45</f>
        <v>0.25</v>
      </c>
      <c r="G60" s="20">
        <f t="shared" si="25"/>
        <v>87.5</v>
      </c>
      <c r="H60" s="20">
        <f t="shared" si="27"/>
        <v>225.75</v>
      </c>
    </row>
    <row r="61" spans="1:8" s="1" customFormat="1" ht="33" customHeight="1" x14ac:dyDescent="0.3">
      <c r="A61" s="7">
        <f t="shared" si="22"/>
        <v>1424.17</v>
      </c>
      <c r="B61" s="18">
        <f t="shared" si="22"/>
        <v>1775</v>
      </c>
      <c r="C61" s="18">
        <f t="shared" si="26"/>
        <v>1705.8300000000002</v>
      </c>
      <c r="D61" s="18">
        <f t="shared" si="23"/>
        <v>2056.66</v>
      </c>
      <c r="E61" s="18">
        <f t="shared" si="24"/>
        <v>281.66000000000003</v>
      </c>
      <c r="F61" s="115">
        <f>F46</f>
        <v>0.33333333333333331</v>
      </c>
      <c r="G61" s="20">
        <f t="shared" si="25"/>
        <v>116.94</v>
      </c>
      <c r="H61" s="20">
        <f t="shared" si="27"/>
        <v>342.69</v>
      </c>
    </row>
    <row r="62" spans="1:8" s="1" customFormat="1" ht="33" customHeight="1" x14ac:dyDescent="0.3">
      <c r="A62" s="7">
        <f t="shared" si="22"/>
        <v>1775</v>
      </c>
      <c r="B62" s="18">
        <f t="shared" si="22"/>
        <v>2133.33</v>
      </c>
      <c r="C62" s="18">
        <f t="shared" si="26"/>
        <v>2056.66</v>
      </c>
      <c r="D62" s="18">
        <f t="shared" si="23"/>
        <v>2414.9899999999998</v>
      </c>
      <c r="E62" s="18">
        <f t="shared" si="24"/>
        <v>281.66000000000003</v>
      </c>
      <c r="F62" s="115">
        <f>F47</f>
        <v>0.66666666666666663</v>
      </c>
      <c r="G62" s="20">
        <f t="shared" si="25"/>
        <v>238.89</v>
      </c>
      <c r="H62" s="20">
        <f t="shared" si="27"/>
        <v>581.57999999999993</v>
      </c>
    </row>
    <row r="63" spans="1:8" s="1" customFormat="1" ht="15.6" x14ac:dyDescent="0.3">
      <c r="A63" s="10" t="s">
        <v>234</v>
      </c>
      <c r="B63" s="10"/>
      <c r="C63" s="10"/>
      <c r="D63" s="10"/>
      <c r="E63" s="3"/>
      <c r="F63" s="3"/>
      <c r="G63" s="3"/>
      <c r="H63" s="3"/>
    </row>
    <row r="66" spans="1:8" s="1" customFormat="1" ht="30" customHeight="1" x14ac:dyDescent="0.3">
      <c r="B66" s="6"/>
      <c r="C66" s="138" t="s">
        <v>82</v>
      </c>
      <c r="D66" s="138"/>
      <c r="E66" s="138"/>
      <c r="F66" s="138"/>
      <c r="G66" s="138"/>
      <c r="H66" s="138"/>
    </row>
    <row r="67" spans="1:8" s="1" customFormat="1" ht="60.75" customHeight="1" x14ac:dyDescent="0.3">
      <c r="A67" s="139" t="s">
        <v>61</v>
      </c>
      <c r="B67" s="139"/>
      <c r="C67" s="140" t="s">
        <v>83</v>
      </c>
      <c r="D67" s="141"/>
      <c r="E67" s="7" t="s">
        <v>13</v>
      </c>
      <c r="F67" s="17" t="s">
        <v>2</v>
      </c>
      <c r="G67" s="17" t="s">
        <v>47</v>
      </c>
      <c r="H67" s="17" t="s">
        <v>78</v>
      </c>
    </row>
    <row r="68" spans="1:8" s="1" customFormat="1" ht="33" customHeight="1" x14ac:dyDescent="0.3">
      <c r="A68" s="7">
        <f>A57</f>
        <v>0</v>
      </c>
      <c r="B68" s="18">
        <f>B57</f>
        <v>370</v>
      </c>
      <c r="C68" s="18">
        <f>A68</f>
        <v>0</v>
      </c>
      <c r="D68" s="18">
        <f>B68+E68</f>
        <v>943.32</v>
      </c>
      <c r="E68" s="18">
        <f>E42*4</f>
        <v>573.32000000000005</v>
      </c>
      <c r="F68" s="18">
        <v>0.05</v>
      </c>
      <c r="G68" s="20">
        <f>ROUND((D68-C68)*F68,2)</f>
        <v>47.17</v>
      </c>
      <c r="H68" s="20">
        <f>G68</f>
        <v>47.17</v>
      </c>
    </row>
    <row r="69" spans="1:8" s="1" customFormat="1" ht="33" customHeight="1" x14ac:dyDescent="0.3">
      <c r="A69" s="7">
        <f t="shared" ref="A69:B73" si="28">A58</f>
        <v>370</v>
      </c>
      <c r="B69" s="18">
        <f t="shared" si="28"/>
        <v>721.67</v>
      </c>
      <c r="C69" s="18">
        <f>D68</f>
        <v>943.32</v>
      </c>
      <c r="D69" s="18">
        <f>B69+E69</f>
        <v>1294.99</v>
      </c>
      <c r="E69" s="18">
        <f t="shared" ref="E69:E73" si="29">E43*4</f>
        <v>573.32000000000005</v>
      </c>
      <c r="F69" s="18">
        <v>0.1</v>
      </c>
      <c r="G69" s="20">
        <f t="shared" ref="G69:G73" si="30">ROUND((D69-C69)*F69,2)</f>
        <v>35.17</v>
      </c>
      <c r="H69" s="20">
        <f>H68+G69</f>
        <v>82.34</v>
      </c>
    </row>
    <row r="70" spans="1:8" s="1" customFormat="1" ht="33" customHeight="1" x14ac:dyDescent="0.3">
      <c r="A70" s="7">
        <f t="shared" si="28"/>
        <v>721.67</v>
      </c>
      <c r="B70" s="18">
        <f t="shared" si="28"/>
        <v>1074.17</v>
      </c>
      <c r="C70" s="18">
        <f t="shared" ref="C70:C73" si="31">D69</f>
        <v>1294.99</v>
      </c>
      <c r="D70" s="18">
        <f t="shared" ref="D70:D73" si="32">B70+E70</f>
        <v>1647.4900000000002</v>
      </c>
      <c r="E70" s="18">
        <f t="shared" si="29"/>
        <v>573.32000000000005</v>
      </c>
      <c r="F70" s="18">
        <v>0.2</v>
      </c>
      <c r="G70" s="20">
        <f t="shared" si="30"/>
        <v>70.5</v>
      </c>
      <c r="H70" s="20">
        <f t="shared" ref="H70:H73" si="33">H69+G70</f>
        <v>152.84</v>
      </c>
    </row>
    <row r="71" spans="1:8" s="1" customFormat="1" ht="33" customHeight="1" x14ac:dyDescent="0.3">
      <c r="A71" s="7">
        <f t="shared" si="28"/>
        <v>1074.17</v>
      </c>
      <c r="B71" s="18">
        <f t="shared" si="28"/>
        <v>1424.17</v>
      </c>
      <c r="C71" s="18">
        <f t="shared" si="31"/>
        <v>1647.4900000000002</v>
      </c>
      <c r="D71" s="18">
        <f t="shared" si="32"/>
        <v>1997.4900000000002</v>
      </c>
      <c r="E71" s="18">
        <f t="shared" si="29"/>
        <v>573.32000000000005</v>
      </c>
      <c r="F71" s="18">
        <v>0.25</v>
      </c>
      <c r="G71" s="20">
        <f t="shared" si="30"/>
        <v>87.5</v>
      </c>
      <c r="H71" s="20">
        <f t="shared" si="33"/>
        <v>240.34</v>
      </c>
    </row>
    <row r="72" spans="1:8" s="1" customFormat="1" ht="33" customHeight="1" x14ac:dyDescent="0.3">
      <c r="A72" s="7">
        <f t="shared" si="28"/>
        <v>1424.17</v>
      </c>
      <c r="B72" s="18">
        <f t="shared" si="28"/>
        <v>1775</v>
      </c>
      <c r="C72" s="18">
        <f t="shared" si="31"/>
        <v>1997.4900000000002</v>
      </c>
      <c r="D72" s="18">
        <f t="shared" si="32"/>
        <v>2348.3200000000002</v>
      </c>
      <c r="E72" s="18">
        <f t="shared" si="29"/>
        <v>573.32000000000005</v>
      </c>
      <c r="F72" s="18">
        <v>0.33333333333333331</v>
      </c>
      <c r="G72" s="20">
        <f t="shared" si="30"/>
        <v>116.94</v>
      </c>
      <c r="H72" s="20">
        <f t="shared" si="33"/>
        <v>357.28</v>
      </c>
    </row>
    <row r="73" spans="1:8" s="1" customFormat="1" ht="33" customHeight="1" x14ac:dyDescent="0.3">
      <c r="A73" s="7">
        <f t="shared" si="28"/>
        <v>1775</v>
      </c>
      <c r="B73" s="18">
        <f t="shared" si="28"/>
        <v>2133.33</v>
      </c>
      <c r="C73" s="18">
        <f t="shared" si="31"/>
        <v>2348.3200000000002</v>
      </c>
      <c r="D73" s="18">
        <f t="shared" si="32"/>
        <v>2706.65</v>
      </c>
      <c r="E73" s="18">
        <f t="shared" si="29"/>
        <v>573.32000000000005</v>
      </c>
      <c r="F73" s="18">
        <v>0.66666666666666663</v>
      </c>
      <c r="G73" s="20">
        <f t="shared" si="30"/>
        <v>238.89</v>
      </c>
      <c r="H73" s="20">
        <f t="shared" si="33"/>
        <v>596.16999999999996</v>
      </c>
    </row>
    <row r="74" spans="1:8" s="1" customFormat="1" ht="15.6" x14ac:dyDescent="0.3">
      <c r="A74" s="10" t="s">
        <v>234</v>
      </c>
      <c r="B74" s="10"/>
      <c r="C74" s="10"/>
      <c r="D74" s="10"/>
      <c r="E74" s="3"/>
      <c r="F74" s="3"/>
      <c r="G74" s="3"/>
      <c r="H74" s="3"/>
    </row>
  </sheetData>
  <mergeCells count="21">
    <mergeCell ref="C55:H55"/>
    <mergeCell ref="A56:B56"/>
    <mergeCell ref="C56:D56"/>
    <mergeCell ref="C66:H66"/>
    <mergeCell ref="A67:B67"/>
    <mergeCell ref="C67:D67"/>
    <mergeCell ref="C15:H15"/>
    <mergeCell ref="A16:B16"/>
    <mergeCell ref="C16:D16"/>
    <mergeCell ref="A41:B41"/>
    <mergeCell ref="C41:D41"/>
    <mergeCell ref="B2:H2"/>
    <mergeCell ref="C4:H4"/>
    <mergeCell ref="A5:B5"/>
    <mergeCell ref="C5:D5"/>
    <mergeCell ref="A12:H12"/>
    <mergeCell ref="C27:H27"/>
    <mergeCell ref="A28:B28"/>
    <mergeCell ref="C28:D28"/>
    <mergeCell ref="B38:H38"/>
    <mergeCell ref="C40:H40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493AC-3453-435F-8B0D-6E530636DE04}">
  <dimension ref="A1:I29"/>
  <sheetViews>
    <sheetView zoomScale="110" zoomScaleNormal="110" workbookViewId="0">
      <selection sqref="A1:XFD1048576"/>
    </sheetView>
  </sheetViews>
  <sheetFormatPr baseColWidth="10" defaultColWidth="11.44140625" defaultRowHeight="15.6" x14ac:dyDescent="0.3"/>
  <cols>
    <col min="1" max="1" width="24.88671875" style="21" customWidth="1"/>
    <col min="2" max="2" width="13.6640625" style="21" customWidth="1"/>
    <col min="3" max="4" width="11.44140625" style="21"/>
    <col min="5" max="5" width="14" style="21" customWidth="1"/>
    <col min="6" max="16384" width="11.44140625" style="21"/>
  </cols>
  <sheetData>
    <row r="1" spans="1:8" x14ac:dyDescent="0.3">
      <c r="A1" s="21" t="s">
        <v>151</v>
      </c>
    </row>
    <row r="2" spans="1:8" x14ac:dyDescent="0.3">
      <c r="A2" s="21" t="s">
        <v>16</v>
      </c>
    </row>
    <row r="4" spans="1:8" x14ac:dyDescent="0.3">
      <c r="A4" s="21" t="s">
        <v>211</v>
      </c>
    </row>
    <row r="6" spans="1:8" x14ac:dyDescent="0.3">
      <c r="A6" s="21" t="s">
        <v>0</v>
      </c>
      <c r="B6" s="29">
        <v>1800</v>
      </c>
    </row>
    <row r="8" spans="1:8" x14ac:dyDescent="0.3">
      <c r="A8" s="21" t="s">
        <v>98</v>
      </c>
      <c r="C8" s="29">
        <v>0</v>
      </c>
      <c r="D8" s="30" t="s">
        <v>97</v>
      </c>
      <c r="E8" s="49">
        <f>'BAREME 2024 TABLEAU  '!B7</f>
        <v>1747.5</v>
      </c>
      <c r="F8" s="21" t="s">
        <v>96</v>
      </c>
      <c r="H8" s="48">
        <f>'BAREME 2024 TABLEAU  '!E7</f>
        <v>323.60000000000002</v>
      </c>
    </row>
    <row r="10" spans="1:8" x14ac:dyDescent="0.3">
      <c r="A10" s="21" t="s">
        <v>81</v>
      </c>
      <c r="C10" s="50">
        <f>E8</f>
        <v>1747.5</v>
      </c>
      <c r="D10" s="21" t="s">
        <v>97</v>
      </c>
      <c r="E10" s="33">
        <f>B6</f>
        <v>1800</v>
      </c>
      <c r="F10" s="21" t="s">
        <v>99</v>
      </c>
      <c r="H10" s="42">
        <f>B16</f>
        <v>35</v>
      </c>
    </row>
    <row r="12" spans="1:8" x14ac:dyDescent="0.3">
      <c r="A12" s="21" t="s">
        <v>1</v>
      </c>
      <c r="B12" s="21">
        <f>B6</f>
        <v>1800</v>
      </c>
    </row>
    <row r="13" spans="1:8" x14ac:dyDescent="0.3">
      <c r="B13" s="43">
        <f>C10</f>
        <v>1747.5</v>
      </c>
    </row>
    <row r="14" spans="1:8" x14ac:dyDescent="0.3">
      <c r="B14" s="44">
        <f>B12-B13</f>
        <v>52.5</v>
      </c>
    </row>
    <row r="15" spans="1:8" x14ac:dyDescent="0.3">
      <c r="A15" s="21" t="s">
        <v>2</v>
      </c>
      <c r="B15" s="45">
        <f>2/3</f>
        <v>0.66666666666666663</v>
      </c>
    </row>
    <row r="16" spans="1:8" x14ac:dyDescent="0.3">
      <c r="B16" s="42">
        <f>ROUND(B14*2/3,2)</f>
        <v>35</v>
      </c>
    </row>
    <row r="17" spans="1:9" x14ac:dyDescent="0.3">
      <c r="D17" s="21" t="s">
        <v>6</v>
      </c>
    </row>
    <row r="19" spans="1:9" x14ac:dyDescent="0.3">
      <c r="A19" s="21" t="s">
        <v>3</v>
      </c>
      <c r="F19" s="46">
        <f>H8+H10</f>
        <v>358.6</v>
      </c>
      <c r="H19" s="21" t="s">
        <v>39</v>
      </c>
      <c r="I19" s="47">
        <f>ROUND(F19,0)</f>
        <v>359</v>
      </c>
    </row>
    <row r="21" spans="1:9" x14ac:dyDescent="0.3">
      <c r="A21" s="21" t="s">
        <v>4</v>
      </c>
    </row>
    <row r="23" spans="1:9" x14ac:dyDescent="0.3">
      <c r="A23" s="21" t="s">
        <v>5</v>
      </c>
      <c r="E23" s="21">
        <f>8340/I19</f>
        <v>23.231197771587745</v>
      </c>
      <c r="F23" s="30" t="s">
        <v>100</v>
      </c>
      <c r="G23" s="30" t="s">
        <v>101</v>
      </c>
      <c r="H23" s="29">
        <f>ROUNDUP(E23,0)</f>
        <v>24</v>
      </c>
      <c r="I23" s="30" t="s">
        <v>100</v>
      </c>
    </row>
    <row r="24" spans="1:9" x14ac:dyDescent="0.3">
      <c r="E24" s="30" t="s">
        <v>152</v>
      </c>
    </row>
    <row r="25" spans="1:9" x14ac:dyDescent="0.3">
      <c r="A25" s="21" t="s">
        <v>153</v>
      </c>
    </row>
    <row r="27" spans="1:9" x14ac:dyDescent="0.3">
      <c r="B27" s="21" t="s">
        <v>212</v>
      </c>
      <c r="C27" s="21">
        <f>I19</f>
        <v>359</v>
      </c>
      <c r="D27" s="21" t="s">
        <v>102</v>
      </c>
      <c r="E27" s="33">
        <f>+I19*23</f>
        <v>8257</v>
      </c>
    </row>
    <row r="28" spans="1:9" x14ac:dyDescent="0.3">
      <c r="A28" s="21" t="s">
        <v>103</v>
      </c>
      <c r="E28" s="33">
        <v>8340</v>
      </c>
    </row>
    <row r="29" spans="1:9" x14ac:dyDescent="0.3">
      <c r="A29" s="21" t="s">
        <v>154</v>
      </c>
      <c r="E29" s="110">
        <f>E28-E27</f>
        <v>83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26082-846D-4112-BC45-F118DFAD1DAB}">
  <dimension ref="A1:I29"/>
  <sheetViews>
    <sheetView topLeftCell="A16" workbookViewId="0">
      <selection activeCell="A36" sqref="A36"/>
    </sheetView>
  </sheetViews>
  <sheetFormatPr baseColWidth="10" defaultColWidth="11.44140625" defaultRowHeight="15.6" x14ac:dyDescent="0.3"/>
  <cols>
    <col min="1" max="1" width="24.88671875" style="21" customWidth="1"/>
    <col min="2" max="2" width="13.6640625" style="21" customWidth="1"/>
    <col min="3" max="4" width="11.44140625" style="21"/>
    <col min="5" max="5" width="14" style="21" customWidth="1"/>
    <col min="6" max="16384" width="11.44140625" style="21"/>
  </cols>
  <sheetData>
    <row r="1" spans="1:8" x14ac:dyDescent="0.3">
      <c r="A1" s="21" t="s">
        <v>151</v>
      </c>
    </row>
    <row r="2" spans="1:8" x14ac:dyDescent="0.3">
      <c r="A2" s="21" t="s">
        <v>16</v>
      </c>
    </row>
    <row r="4" spans="1:8" x14ac:dyDescent="0.3">
      <c r="A4" s="21" t="s">
        <v>211</v>
      </c>
    </row>
    <row r="6" spans="1:8" x14ac:dyDescent="0.3">
      <c r="A6" s="21" t="s">
        <v>0</v>
      </c>
      <c r="B6" s="29">
        <v>1800</v>
      </c>
    </row>
    <row r="8" spans="1:8" x14ac:dyDescent="0.3">
      <c r="A8" s="21" t="s">
        <v>98</v>
      </c>
      <c r="C8" s="29">
        <v>0</v>
      </c>
      <c r="D8" s="30" t="s">
        <v>97</v>
      </c>
      <c r="E8" s="49"/>
      <c r="F8" s="21" t="s">
        <v>96</v>
      </c>
      <c r="H8" s="48"/>
    </row>
    <row r="10" spans="1:8" x14ac:dyDescent="0.3">
      <c r="A10" s="21" t="s">
        <v>81</v>
      </c>
      <c r="C10" s="50">
        <f>E8</f>
        <v>0</v>
      </c>
      <c r="D10" s="21" t="s">
        <v>97</v>
      </c>
      <c r="E10" s="33">
        <f>B6</f>
        <v>1800</v>
      </c>
      <c r="F10" s="21" t="s">
        <v>99</v>
      </c>
      <c r="H10" s="42"/>
    </row>
    <row r="12" spans="1:8" x14ac:dyDescent="0.3">
      <c r="A12" s="21" t="s">
        <v>1</v>
      </c>
      <c r="B12" s="21">
        <f>B6</f>
        <v>1800</v>
      </c>
    </row>
    <row r="13" spans="1:8" x14ac:dyDescent="0.3">
      <c r="B13" s="43">
        <f>C10</f>
        <v>0</v>
      </c>
    </row>
    <row r="14" spans="1:8" x14ac:dyDescent="0.3">
      <c r="B14" s="44">
        <f>B12-B13</f>
        <v>1800</v>
      </c>
    </row>
    <row r="15" spans="1:8" x14ac:dyDescent="0.3">
      <c r="A15" s="21" t="s">
        <v>2</v>
      </c>
      <c r="B15" s="35">
        <f>+'C BAREME 2024 2025 PERS SEULE  '!F54</f>
        <v>0.66666666666666663</v>
      </c>
    </row>
    <row r="16" spans="1:8" x14ac:dyDescent="0.3">
      <c r="B16" s="42"/>
    </row>
    <row r="17" spans="1:9" x14ac:dyDescent="0.3">
      <c r="D17" s="21" t="s">
        <v>6</v>
      </c>
    </row>
    <row r="19" spans="1:9" x14ac:dyDescent="0.3">
      <c r="A19" s="21" t="s">
        <v>3</v>
      </c>
      <c r="F19" s="46"/>
      <c r="H19" s="21" t="s">
        <v>39</v>
      </c>
      <c r="I19" s="47"/>
    </row>
    <row r="21" spans="1:9" x14ac:dyDescent="0.3">
      <c r="A21" s="21" t="s">
        <v>4</v>
      </c>
    </row>
    <row r="23" spans="1:9" x14ac:dyDescent="0.3">
      <c r="A23" s="21" t="s">
        <v>5</v>
      </c>
      <c r="F23" s="30" t="s">
        <v>100</v>
      </c>
      <c r="G23" s="30" t="s">
        <v>101</v>
      </c>
      <c r="H23" s="29"/>
      <c r="I23" s="30" t="s">
        <v>100</v>
      </c>
    </row>
    <row r="24" spans="1:9" x14ac:dyDescent="0.3">
      <c r="E24" s="30"/>
    </row>
    <row r="25" spans="1:9" x14ac:dyDescent="0.3">
      <c r="A25" s="21" t="s">
        <v>236</v>
      </c>
    </row>
    <row r="27" spans="1:9" x14ac:dyDescent="0.3">
      <c r="B27" s="21" t="s">
        <v>239</v>
      </c>
      <c r="D27" s="21" t="s">
        <v>102</v>
      </c>
      <c r="E27" s="33"/>
    </row>
    <row r="28" spans="1:9" x14ac:dyDescent="0.3">
      <c r="A28" s="21" t="s">
        <v>103</v>
      </c>
      <c r="E28" s="33">
        <v>8340</v>
      </c>
    </row>
    <row r="29" spans="1:9" x14ac:dyDescent="0.3">
      <c r="A29" s="21" t="s">
        <v>238</v>
      </c>
      <c r="E29" s="110"/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C9C49-5A89-40A9-B846-90D595C10F7B}">
  <dimension ref="A1:I29"/>
  <sheetViews>
    <sheetView topLeftCell="A6" workbookViewId="0">
      <selection activeCell="A8" sqref="A1:XFD1048576"/>
    </sheetView>
  </sheetViews>
  <sheetFormatPr baseColWidth="10" defaultColWidth="11.44140625" defaultRowHeight="15.6" x14ac:dyDescent="0.3"/>
  <cols>
    <col min="1" max="1" width="24.88671875" style="21" customWidth="1"/>
    <col min="2" max="2" width="13.6640625" style="21" customWidth="1"/>
    <col min="3" max="4" width="11.44140625" style="21"/>
    <col min="5" max="5" width="14" style="21" customWidth="1"/>
    <col min="6" max="16384" width="11.44140625" style="21"/>
  </cols>
  <sheetData>
    <row r="1" spans="1:8" x14ac:dyDescent="0.3">
      <c r="A1" s="21" t="s">
        <v>151</v>
      </c>
    </row>
    <row r="2" spans="1:8" x14ac:dyDescent="0.3">
      <c r="A2" s="21" t="s">
        <v>16</v>
      </c>
    </row>
    <row r="4" spans="1:8" x14ac:dyDescent="0.3">
      <c r="A4" s="21" t="s">
        <v>211</v>
      </c>
    </row>
    <row r="6" spans="1:8" x14ac:dyDescent="0.3">
      <c r="A6" s="21" t="s">
        <v>0</v>
      </c>
      <c r="B6" s="29">
        <v>1800</v>
      </c>
    </row>
    <row r="8" spans="1:8" x14ac:dyDescent="0.3">
      <c r="A8" s="21" t="s">
        <v>98</v>
      </c>
      <c r="C8" s="29">
        <v>0</v>
      </c>
      <c r="D8" s="30" t="s">
        <v>97</v>
      </c>
      <c r="E8" s="49">
        <f>+'C BAREME 2024 2025 PERS SEULE  '!E53</f>
        <v>1775</v>
      </c>
      <c r="F8" s="21" t="s">
        <v>96</v>
      </c>
      <c r="H8" s="48">
        <f>+'C BAREME 2024 2025 PERS SEULE  '!H53</f>
        <v>328.61</v>
      </c>
    </row>
    <row r="10" spans="1:8" x14ac:dyDescent="0.3">
      <c r="A10" s="21" t="s">
        <v>81</v>
      </c>
      <c r="C10" s="50">
        <f>E8</f>
        <v>1775</v>
      </c>
      <c r="D10" s="21" t="s">
        <v>97</v>
      </c>
      <c r="E10" s="33">
        <f>B6</f>
        <v>1800</v>
      </c>
      <c r="F10" s="21" t="s">
        <v>99</v>
      </c>
      <c r="H10" s="42">
        <f>B16</f>
        <v>16.670000000000002</v>
      </c>
    </row>
    <row r="12" spans="1:8" x14ac:dyDescent="0.3">
      <c r="A12" s="21" t="s">
        <v>1</v>
      </c>
      <c r="B12" s="21">
        <f>B6</f>
        <v>1800</v>
      </c>
    </row>
    <row r="13" spans="1:8" x14ac:dyDescent="0.3">
      <c r="B13" s="43">
        <f>C10</f>
        <v>1775</v>
      </c>
    </row>
    <row r="14" spans="1:8" x14ac:dyDescent="0.3">
      <c r="B14" s="44">
        <f>B12-B13</f>
        <v>25</v>
      </c>
    </row>
    <row r="15" spans="1:8" x14ac:dyDescent="0.3">
      <c r="A15" s="21" t="s">
        <v>2</v>
      </c>
      <c r="B15" s="35">
        <f>+'C BAREME 2024 2025 PERS SEULE  '!F54</f>
        <v>0.66666666666666663</v>
      </c>
    </row>
    <row r="16" spans="1:8" x14ac:dyDescent="0.3">
      <c r="B16" s="42">
        <f>ROUND(B14*2/3,2)</f>
        <v>16.670000000000002</v>
      </c>
    </row>
    <row r="17" spans="1:9" x14ac:dyDescent="0.3">
      <c r="D17" s="21" t="s">
        <v>6</v>
      </c>
    </row>
    <row r="19" spans="1:9" x14ac:dyDescent="0.3">
      <c r="A19" s="21" t="s">
        <v>3</v>
      </c>
      <c r="F19" s="46">
        <f>H8+H10</f>
        <v>345.28000000000003</v>
      </c>
      <c r="H19" s="21" t="s">
        <v>39</v>
      </c>
      <c r="I19" s="47">
        <f>ROUND(F19,0)</f>
        <v>345</v>
      </c>
    </row>
    <row r="21" spans="1:9" x14ac:dyDescent="0.3">
      <c r="A21" s="21" t="s">
        <v>4</v>
      </c>
    </row>
    <row r="23" spans="1:9" x14ac:dyDescent="0.3">
      <c r="A23" s="21" t="s">
        <v>5</v>
      </c>
      <c r="E23" s="21">
        <f>8340/I19</f>
        <v>24.173913043478262</v>
      </c>
      <c r="F23" s="30" t="s">
        <v>100</v>
      </c>
      <c r="G23" s="30" t="s">
        <v>101</v>
      </c>
      <c r="H23" s="29">
        <f>ROUNDUP(E23,0)</f>
        <v>25</v>
      </c>
      <c r="I23" s="30" t="s">
        <v>100</v>
      </c>
    </row>
    <row r="24" spans="1:9" x14ac:dyDescent="0.3">
      <c r="E24" s="30" t="s">
        <v>235</v>
      </c>
    </row>
    <row r="25" spans="1:9" x14ac:dyDescent="0.3">
      <c r="A25" s="21" t="s">
        <v>236</v>
      </c>
    </row>
    <row r="27" spans="1:9" x14ac:dyDescent="0.3">
      <c r="B27" s="21" t="s">
        <v>237</v>
      </c>
      <c r="C27" s="21">
        <f>I19</f>
        <v>345</v>
      </c>
      <c r="D27" s="21" t="s">
        <v>102</v>
      </c>
      <c r="E27" s="33">
        <f>+I19*24</f>
        <v>8280</v>
      </c>
    </row>
    <row r="28" spans="1:9" x14ac:dyDescent="0.3">
      <c r="A28" s="21" t="s">
        <v>103</v>
      </c>
      <c r="E28" s="33">
        <v>8340</v>
      </c>
    </row>
    <row r="29" spans="1:9" x14ac:dyDescent="0.3">
      <c r="A29" s="21" t="s">
        <v>238</v>
      </c>
      <c r="E29" s="110">
        <f>E28-E27</f>
        <v>60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7E7F-85C7-4726-A934-34DA1EAC77E9}">
  <dimension ref="A1:G23"/>
  <sheetViews>
    <sheetView workbookViewId="0">
      <selection activeCell="A6" sqref="A6:G6"/>
    </sheetView>
  </sheetViews>
  <sheetFormatPr baseColWidth="10" defaultColWidth="11.44140625" defaultRowHeight="15.6" x14ac:dyDescent="0.3"/>
  <cols>
    <col min="1" max="1" width="26.109375" style="1" customWidth="1"/>
    <col min="2" max="2" width="21.5546875" style="2" customWidth="1"/>
    <col min="3" max="3" width="17.33203125" style="1" customWidth="1"/>
    <col min="4" max="6" width="11.44140625" style="1"/>
    <col min="7" max="7" width="19" style="1" customWidth="1"/>
    <col min="8" max="16384" width="11.44140625" style="1"/>
  </cols>
  <sheetData>
    <row r="1" spans="1:7" x14ac:dyDescent="0.3">
      <c r="A1" s="1" t="s">
        <v>36</v>
      </c>
    </row>
    <row r="2" spans="1:7" x14ac:dyDescent="0.3">
      <c r="A2" s="1" t="s">
        <v>17</v>
      </c>
    </row>
    <row r="4" spans="1:7" x14ac:dyDescent="0.3">
      <c r="A4" s="1" t="s">
        <v>0</v>
      </c>
      <c r="B4" s="2">
        <v>3820</v>
      </c>
    </row>
    <row r="6" spans="1:7" ht="31.5" customHeight="1" x14ac:dyDescent="0.3">
      <c r="A6" s="146" t="s">
        <v>55</v>
      </c>
      <c r="B6" s="146"/>
      <c r="C6" s="146"/>
      <c r="D6" s="146"/>
      <c r="E6" s="146"/>
      <c r="F6" s="146"/>
      <c r="G6" s="146"/>
    </row>
    <row r="8" spans="1:7" ht="31.5" customHeight="1" x14ac:dyDescent="0.3">
      <c r="A8" s="146" t="s">
        <v>1</v>
      </c>
      <c r="B8" s="146"/>
      <c r="C8" s="5">
        <v>3820</v>
      </c>
    </row>
    <row r="9" spans="1:7" ht="31.5" customHeight="1" x14ac:dyDescent="0.3">
      <c r="C9" s="5"/>
    </row>
    <row r="10" spans="1:7" ht="31.5" customHeight="1" x14ac:dyDescent="0.3">
      <c r="C10" s="14"/>
      <c r="E10" s="1" t="s">
        <v>37</v>
      </c>
    </row>
    <row r="13" spans="1:7" ht="26.25" customHeight="1" x14ac:dyDescent="0.3">
      <c r="A13" s="146" t="s">
        <v>7</v>
      </c>
      <c r="B13" s="146"/>
      <c r="C13" s="4">
        <f>C9</f>
        <v>0</v>
      </c>
    </row>
    <row r="14" spans="1:7" ht="26.25" customHeight="1" x14ac:dyDescent="0.3">
      <c r="A14" s="146" t="s">
        <v>8</v>
      </c>
      <c r="B14" s="146"/>
      <c r="C14" s="14"/>
      <c r="E14" s="1" t="s">
        <v>38</v>
      </c>
    </row>
    <row r="15" spans="1:7" ht="26.25" customHeight="1" x14ac:dyDescent="0.3">
      <c r="C15" s="2"/>
    </row>
    <row r="16" spans="1:7" ht="26.25" customHeight="1" x14ac:dyDescent="0.3">
      <c r="A16" s="146" t="s">
        <v>9</v>
      </c>
      <c r="B16" s="146"/>
      <c r="C16" s="13"/>
      <c r="E16" s="1" t="s">
        <v>40</v>
      </c>
      <c r="G16" s="12"/>
    </row>
    <row r="17" spans="1:3" ht="26.25" customHeight="1" x14ac:dyDescent="0.3"/>
    <row r="18" spans="1:3" ht="26.25" customHeight="1" x14ac:dyDescent="0.3">
      <c r="A18" s="146" t="s">
        <v>10</v>
      </c>
      <c r="B18" s="146"/>
      <c r="C18" s="5"/>
    </row>
    <row r="19" spans="1:3" ht="26.25" customHeight="1" x14ac:dyDescent="0.3"/>
    <row r="20" spans="1:3" ht="26.25" customHeight="1" x14ac:dyDescent="0.3">
      <c r="A20" s="146" t="s">
        <v>12</v>
      </c>
      <c r="B20" s="146"/>
      <c r="C20" s="4"/>
    </row>
    <row r="21" spans="1:3" ht="26.25" customHeight="1" x14ac:dyDescent="0.3"/>
    <row r="22" spans="1:3" ht="26.25" customHeight="1" x14ac:dyDescent="0.3">
      <c r="A22" s="1" t="s">
        <v>56</v>
      </c>
      <c r="C22" s="5">
        <f>6*G16</f>
        <v>0</v>
      </c>
    </row>
    <row r="23" spans="1:3" ht="26.25" customHeight="1" x14ac:dyDescent="0.3">
      <c r="A23" s="1" t="s">
        <v>57</v>
      </c>
      <c r="C23" s="4">
        <f>C18-C22</f>
        <v>0</v>
      </c>
    </row>
  </sheetData>
  <mergeCells count="7">
    <mergeCell ref="A20:B20"/>
    <mergeCell ref="A6:G6"/>
    <mergeCell ref="A8:B8"/>
    <mergeCell ref="A13:B13"/>
    <mergeCell ref="A14:B14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BAREME 2024 TABLEAU  </vt:lpstr>
      <vt:lpstr>BAREME 2024 2025 PERSO SEULE </vt:lpstr>
      <vt:lpstr>C BAREME 2024 2025 PERS SEULE  </vt:lpstr>
      <vt:lpstr>BAREME 2024  et 2025     E </vt:lpstr>
      <vt:lpstr>BAREME 2024  et 2025 C </vt:lpstr>
      <vt:lpstr>Exercice 1 2024  C</vt:lpstr>
      <vt:lpstr>EXERCICE 1 2025 E </vt:lpstr>
      <vt:lpstr>EXERCICE 1 2025 C</vt:lpstr>
      <vt:lpstr>Exercice 2 2024  E </vt:lpstr>
      <vt:lpstr>Exercice 2 2024  C </vt:lpstr>
      <vt:lpstr>EXERCICE 2 2025 E</vt:lpstr>
      <vt:lpstr>EXERCICE 2 2025 C </vt:lpstr>
      <vt:lpstr>EXERCICE 3 2025 E </vt:lpstr>
      <vt:lpstr>EXERCICE 3 2025 C </vt:lpstr>
      <vt:lpstr>EXERCICE 3 2024  E </vt:lpstr>
      <vt:lpstr>EXERCICE 3 2024  C </vt:lpstr>
      <vt:lpstr>EXERCICE 4 2025 C </vt:lpstr>
      <vt:lpstr>EXERCICE 4  2024  C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</dc:creator>
  <cp:lastModifiedBy>jacques LE CHEVANTON</cp:lastModifiedBy>
  <cp:lastPrinted>2025-05-01T12:42:33Z</cp:lastPrinted>
  <dcterms:created xsi:type="dcterms:W3CDTF">2013-01-23T16:42:33Z</dcterms:created>
  <dcterms:modified xsi:type="dcterms:W3CDTF">2025-05-01T12:42:39Z</dcterms:modified>
</cp:coreProperties>
</file>